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'공장창고매물'!$A$1:$AD$727</definedName>
    <definedName name="_xlnm._FilterDatabase" localSheetId="1" hidden="1">'주택매물'!$A$1:$AA$1751</definedName>
    <definedName name="_xlnm._FilterDatabase" localSheetId="2" hidden="1">'토지매물'!$A$1:$V$3408</definedName>
    <definedName name="_xlnm._FilterDatabase" localSheetId="3" hidden="1">'국토부_실거래원본'!$A$1:$J$13463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공장</t>
        </is>
      </c>
      <c r="E45" s="3" t="inlineStr">
        <is>
          <t>월세</t>
        </is>
      </c>
      <c r="F45" s="4" t="n">
        <v>10000</v>
      </c>
      <c r="G45" s="4" t="n">
        <v>540</v>
      </c>
      <c r="H45" s="4" t="n">
        <v>2284</v>
      </c>
      <c r="I45" s="4" t="n">
        <v>691</v>
      </c>
      <c r="J45" s="5" t="n">
        <v>0.8</v>
      </c>
      <c r="K45" s="4" t="n">
        <v>729</v>
      </c>
      <c r="L45" s="4" t="n">
        <v>221</v>
      </c>
      <c r="M45" s="5" t="n">
        <v>2.4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2차선 도로변 첫 입주 신축창고 및 제조업소 임대</t>
        </is>
      </c>
      <c r="Q45" s="6">
        <f>HYPERLINK("https://fin.land.naver.com/articles/2655964337",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청담</t>
        </is>
      </c>
      <c r="U45" s="4" t="n">
        <v>1</v>
      </c>
      <c r="V45" s="5" t="n">
        <v>58.7</v>
      </c>
      <c r="W45" s="4" t="n">
        <v>2277</v>
      </c>
      <c r="X45" s="3" t="inlineStr">
        <is>
          <t>주건축물제1동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7.79m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HYPERLINK("https://fin.land.naver.com/articles/2654719601",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HYPERLINK("https://fin.land.naver.com/articles/2656000850",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3438</v>
      </c>
      <c r="I61" s="4" t="n">
        <v>1040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HYPERLINK("https://fin.land.naver.com/articles/2655519562",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창고의여왕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개인 전용마당 매우 넓은 귀한 창고임대 1종근생</t>
        </is>
      </c>
      <c r="Q62" s="6">
        <f>HYPERLINK("https://fin.land.naver.com/articles/2652795998",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태광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단독으로 넓은 마당 사용 가능한 창고</t>
        </is>
      </c>
      <c r="Q63" s="6">
        <f>HYPERLINK("https://fin.land.naver.com/articles/2654258717",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9623</v>
      </c>
      <c r="I67" s="4" t="n">
        <v>2911</v>
      </c>
      <c r="J67" s="5" t="n">
        <v>412.2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청주IC와 오송역 인근 4차선 대로변, 예식장,대형카페,요양원 추천</t>
        </is>
      </c>
      <c r="Q67" s="6">
        <f>HYPERLINK("https://fin.land.naver.com/articles/2655907891",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(주)미르</t>
        </is>
      </c>
      <c r="U67" s="4" t="n">
        <v>4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HYPERLINK("https://fin.land.naver.com/articles/2655439566",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준신축 공장 호이스트 3ton</t>
        </is>
      </c>
      <c r="Q73" s="6">
        <f>HYPERLINK("https://fin.land.naver.com/articles/2654091247",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수풀림</t>
        </is>
      </c>
      <c r="U73" s="4" t="n">
        <v>2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저렴한 임대료 2차선도로 진입 대형 공장</t>
        </is>
      </c>
      <c r="Q81" s="6">
        <f>HYPERLINK("https://fin.land.naver.com/articles/2655679235",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2200</v>
      </c>
      <c r="H82" s="4" t="n">
        <v>12350</v>
      </c>
      <c r="I82" s="4" t="n">
        <v>3736</v>
      </c>
      <c r="J82" s="5" t="n">
        <v>0.6</v>
      </c>
      <c r="K82" s="4" t="n">
        <v>4649</v>
      </c>
      <c r="L82" s="4" t="n">
        <v>1406</v>
      </c>
      <c r="M82" s="5" t="n">
        <v>1.6</v>
      </c>
      <c r="N82" s="3" t="inlineStr">
        <is>
          <t>1</t>
        </is>
      </c>
      <c r="O82" s="3" t="inlineStr">
        <is>
          <t>-</t>
        </is>
      </c>
      <c r="P82" s="3" t="inlineStr">
        <is>
          <t>강내 일반산업단지 인근에 위치, 2차선 대로변으로 접근성 좋음</t>
        </is>
      </c>
      <c r="Q82" s="6">
        <f>HYPERLINK("https://fin.land.naver.com/articles/2655439592",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(주)미르</t>
        </is>
      </c>
      <c r="U82" s="4" t="n">
        <v>3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32274</v>
      </c>
      <c r="I89" s="4" t="n">
        <v>9763</v>
      </c>
      <c r="J89" s="5" t="n">
        <v>0.4</v>
      </c>
      <c r="K89" s="4" t="n">
        <v>5223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대형창고 공장임대 즉시입주가 추가면적가능</t>
        </is>
      </c>
      <c r="Q89" s="6">
        <f>HYPERLINK("https://fin.land.naver.com/articles/2650873431",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24000</v>
      </c>
      <c r="G90" s="4" t="n">
        <v>2400</v>
      </c>
      <c r="H90" s="4" t="n">
        <v>9917</v>
      </c>
      <c r="I90" s="4" t="n">
        <v>3000</v>
      </c>
      <c r="J90" s="5" t="n">
        <v>0.8</v>
      </c>
      <c r="K90" s="4" t="n">
        <v>3765</v>
      </c>
      <c r="L90" s="4" t="n">
        <v>1139</v>
      </c>
      <c r="M90" s="5" t="n">
        <v>2.1</v>
      </c>
      <c r="N90" s="3" t="inlineStr">
        <is>
          <t>1</t>
        </is>
      </c>
      <c r="O90" s="3" t="inlineStr">
        <is>
          <t>-</t>
        </is>
      </c>
      <c r="P90" s="3" t="inlineStr">
        <is>
          <t>2차선진입대형차진출입용이 공장및 창고적합  야드면적 별도임대가능</t>
        </is>
      </c>
      <c r="Q90" s="6">
        <f>HYPERLINK("https://fin.land.naver.com/articles/2652625260",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73500</v>
      </c>
      <c r="G91" s="4" t="n">
        <v>7350</v>
      </c>
      <c r="H91" s="4" t="n">
        <v>209096</v>
      </c>
      <c r="I91" s="4" t="n">
        <v>63252</v>
      </c>
      <c r="J91" s="5" t="n">
        <v>0.1</v>
      </c>
      <c r="K91" s="4" t="n">
        <v>9733</v>
      </c>
      <c r="L91" s="4" t="n">
        <v>2944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강내일반산업단지 인근 2차선대로변 대형공장이나 창고가능</t>
        </is>
      </c>
      <c r="Q91" s="6">
        <f>HYPERLINK("https://fin.land.naver.com/articles/2655682625",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HYPERLINK("https://fin.land.naver.com/articles/2656424572",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18000</v>
      </c>
      <c r="G93" s="4" t="n">
        <v>1750</v>
      </c>
      <c r="H93" s="4" t="n">
        <v>9200</v>
      </c>
      <c r="I93" s="4" t="n">
        <v>2783</v>
      </c>
      <c r="J93" s="5" t="n">
        <v>0.6</v>
      </c>
      <c r="K93" s="4" t="n">
        <v>2217</v>
      </c>
      <c r="L93" s="4" t="n">
        <v>671</v>
      </c>
      <c r="M93" s="5" t="n">
        <v>2.6</v>
      </c>
      <c r="N93" s="3" t="inlineStr">
        <is>
          <t>1</t>
        </is>
      </c>
      <c r="O93" s="3" t="inlineStr">
        <is>
          <t>-</t>
        </is>
      </c>
      <c r="P93" s="3" t="inlineStr">
        <is>
          <t>2차선진입대형차 진출입용이 사무실 갖추어진 공장 넓은 마당사용</t>
        </is>
      </c>
      <c r="Q93" s="6">
        <f>HYPERLINK("https://fin.land.naver.com/articles/2652625511",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진입로 좋은 공장임대입니다</t>
        </is>
      </c>
      <c r="Q105" s="6">
        <f>HYPERLINK("https://fin.land.naver.com/articles/2654187499",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복댕이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900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2.1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청주IC10분, 넓은 마당, 층고 9m, 공장 및 물류창고로 단독 사용</t>
        </is>
      </c>
      <c r="Q108" s="6">
        <f>HYPERLINK("https://fin.land.naver.com/articles/2654665780",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청담</t>
        </is>
      </c>
      <c r="U108" s="4" t="n">
        <v>3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HYPERLINK("https://fin.land.naver.com/articles/2651673508",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HYPERLINK("https://fin.land.naver.com/articles/2652787152",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5000</v>
      </c>
      <c r="G115" s="4" t="n">
        <v>950</v>
      </c>
      <c r="H115" s="4" t="n">
        <v>3500</v>
      </c>
      <c r="I115" s="4" t="n">
        <v>1059</v>
      </c>
      <c r="J115" s="5" t="n">
        <v>0.9</v>
      </c>
      <c r="K115" s="4" t="n">
        <v>1392</v>
      </c>
      <c r="L115" s="4" t="n">
        <v>421</v>
      </c>
      <c r="M115" s="5" t="n">
        <v>2.3</v>
      </c>
      <c r="N115" s="3" t="inlineStr">
        <is>
          <t>1</t>
        </is>
      </c>
      <c r="O115" s="3" t="inlineStr">
        <is>
          <t>-</t>
        </is>
      </c>
      <c r="P115" s="3" t="inlineStr">
        <is>
          <t>총3필지이며 대형차량 진출입용이합니다</t>
        </is>
      </c>
      <c r="Q115" s="6">
        <f>HYPERLINK("https://fin.land.naver.com/articles/2654200532",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복댕이</t>
        </is>
      </c>
      <c r="U115" s="4" t="n">
        <v>2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HYPERLINK("https://fin.land.naver.com/articles/2652114572",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2</t>
        </is>
      </c>
      <c r="O119" s="3" t="inlineStr">
        <is>
          <t>-</t>
        </is>
      </c>
      <c r="P119" s="3" t="inlineStr">
        <is>
          <t>태성리 공장 매매 3개동 매매</t>
        </is>
      </c>
      <c r="Q119" s="6">
        <f>HYPERLINK("https://fin.land.naver.com/articles/2651352884",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금호사랑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HYPERLINK("https://fin.land.naver.com/articles/2655524924",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300</v>
      </c>
      <c r="H125" s="4" t="n">
        <v>5005</v>
      </c>
      <c r="I125" s="4" t="n">
        <v>1514</v>
      </c>
      <c r="J125" s="5" t="n">
        <v>0.2</v>
      </c>
      <c r="K125" s="4" t="n">
        <v>495</v>
      </c>
      <c r="L125" s="4" t="n">
        <v>150</v>
      </c>
      <c r="M125" s="5" t="n">
        <v>2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HYPERLINK("https://fin.land.naver.com/articles/2652988446",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HYPERLINK("https://fin.land.naver.com/articles/2656641278",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월세</t>
        </is>
      </c>
      <c r="F153" s="4" t="n">
        <v>4000</v>
      </c>
      <c r="G153" s="4" t="n">
        <v>300</v>
      </c>
      <c r="H153" s="4" t="n">
        <v>2178</v>
      </c>
      <c r="I153" s="4" t="n">
        <v>659</v>
      </c>
      <c r="J153" s="5" t="n">
        <v>0.5</v>
      </c>
      <c r="K153" s="4" t="n">
        <v>338</v>
      </c>
      <c r="L153" s="4" t="n">
        <v>102</v>
      </c>
      <c r="M153" s="5" t="n">
        <v>2.9</v>
      </c>
      <c r="N153" s="3" t="inlineStr">
        <is>
          <t>1</t>
        </is>
      </c>
      <c r="O153" s="3" t="inlineStr">
        <is>
          <t>B1</t>
        </is>
      </c>
      <c r="P153" s="3" t="inlineStr">
        <is>
          <t>남이면 신축102형, 제2종근생, 제조업 창고, 매매 가능, 부지 넓음</t>
        </is>
      </c>
      <c r="Q153" s="6">
        <f>HYPERLINK("https://fin.land.naver.com/articles/2652072234",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라인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65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착한 임대료 1층 창고 사무실</t>
        </is>
      </c>
      <c r="Q157" s="6">
        <f>HYPERLINK("https://fin.land.naver.com/articles/2656276822",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지구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2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대형 신축급 공장창고 넓은 마당 확보</t>
        </is>
      </c>
      <c r="Q162" s="6">
        <f>HYPERLINK("https://fin.land.naver.com/articles/2654876552",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1680</v>
      </c>
      <c r="L164" s="4" t="n">
        <v>508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남청주ic, 강서하이패스ic15분 민원 걱정없는 대형공장이나 물류창고</t>
        </is>
      </c>
      <c r="Q164" s="6">
        <f>HYPERLINK("https://fin.land.naver.com/articles/2651673588",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10분거리이며 청주시내권 근접한 위치의 창고로 소매점 가능</t>
        </is>
      </c>
      <c r="Q166" s="6">
        <f>HYPERLINK("https://fin.land.naver.com/articles/2652625375",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2851</v>
      </c>
      <c r="I167" s="4" t="n">
        <v>862</v>
      </c>
      <c r="J167" s="5" t="n">
        <v>0.4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넓은 개인 전용마당 확보 신축급 깔끔한 창고임대</t>
        </is>
      </c>
      <c r="Q167" s="6">
        <f>HYPERLINK("https://fin.land.naver.com/articles/2652803675",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태광</t>
        </is>
      </c>
      <c r="U167" s="4" t="n">
        <v>2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HYPERLINK("https://fin.land.naver.com/articles/2656257892",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 ic 15분 2차선도로 호이스트2.8톤 설치 공장등록가능</t>
        </is>
      </c>
      <c r="Q181" s="6">
        <f>HYPERLINK("https://fin.land.naver.com/articles/2651749996",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5200</v>
      </c>
      <c r="G182" s="4" t="n">
        <v>520</v>
      </c>
      <c r="H182" s="4" t="n">
        <v>5147</v>
      </c>
      <c r="I182" s="4" t="n">
        <v>1557</v>
      </c>
      <c r="J182" s="5" t="n">
        <v>0.3</v>
      </c>
      <c r="K182" s="4" t="n">
        <v>745</v>
      </c>
      <c r="L182" s="4" t="n">
        <v>225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임대</t>
        </is>
      </c>
      <c r="Q182" s="6">
        <f>HYPERLINK("https://fin.land.naver.com/articles/2653030443",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HYPERLINK("https://fin.land.naver.com/articles/2653100457",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 도로 접,민원 소지 없는 위치,호이스트 있음,대형차량 진출입 편함</t>
        </is>
      </c>
      <c r="Q184" s="6">
        <f>HYPERLINK("https://fin.land.naver.com/articles/2653871755",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나는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 진출입 편리한 공장 창고임대</t>
        </is>
      </c>
      <c r="Q187" s="6">
        <f>HYPERLINK("https://fin.land.naver.com/articles/2654875511",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HYPERLINK("https://fin.land.naver.com/articles/2655671247",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</v>
      </c>
      <c r="G197" s="4" t="n">
        <v>0</v>
      </c>
      <c r="H197" s="4" t="n">
        <v>4997</v>
      </c>
      <c r="I197" s="4" t="n">
        <v>1512</v>
      </c>
      <c r="J197" s="5" t="n">
        <v>231.5</v>
      </c>
      <c r="K197" s="4" t="n">
        <v>1988</v>
      </c>
      <c r="L197" s="4" t="n">
        <v>601</v>
      </c>
      <c r="M197" s="5" t="n">
        <v>582.4</v>
      </c>
      <c r="N197" s="3" t="inlineStr">
        <is>
          <t>1</t>
        </is>
      </c>
      <c r="O197" s="3" t="inlineStr">
        <is>
          <t>-</t>
        </is>
      </c>
      <c r="P197" s="3" t="inlineStr">
        <is>
          <t>산밑 한적한 위치에  공장입니다</t>
        </is>
      </c>
      <c r="Q197" s="6">
        <f>HYPERLINK("https://fin.land.naver.com/articles/2653097944",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복댕이</t>
        </is>
      </c>
      <c r="U197" s="4" t="n">
        <v>1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45034</v>
      </c>
      <c r="I199" s="4" t="n">
        <v>13623</v>
      </c>
      <c r="J199" s="5" t="n">
        <v>0.4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물류창고 임대</t>
        </is>
      </c>
      <c r="Q199" s="6">
        <f>HYPERLINK("https://fin.land.naver.com/articles/2652355624",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17187</v>
      </c>
      <c r="I200" s="4" t="n">
        <v>5199</v>
      </c>
      <c r="J200" s="5" t="n">
        <v>1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10분거리 단독 대형 물류창고  도크시설 완비</t>
        </is>
      </c>
      <c r="Q200" s="6">
        <f>HYPERLINK("https://fin.land.naver.com/articles/2655177920",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더원</t>
        </is>
      </c>
      <c r="U200" s="4" t="n">
        <v>2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즉시입주가능, 민원소지없는 2종근생제조업, 준식축급공장</t>
        </is>
      </c>
      <c r="Q202" s="6">
        <f>HYPERLINK("https://fin.land.naver.com/articles/2652908776",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계확관리지역 내 제2종근생 제조업소</t>
        </is>
      </c>
      <c r="Q204" s="6">
        <f>HYPERLINK("https://fin.land.naver.com/articles/2655152936",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새로이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86000</v>
      </c>
      <c r="G205" s="4" t="n">
        <v>0</v>
      </c>
      <c r="H205" s="4" t="n">
        <v>1808</v>
      </c>
      <c r="I205" s="4" t="n">
        <v>547</v>
      </c>
      <c r="J205" s="5" t="n">
        <v>157.2</v>
      </c>
      <c r="K205" s="4" t="n">
        <v>196</v>
      </c>
      <c r="L205" s="4" t="n">
        <v>59</v>
      </c>
      <c r="M205" s="5" t="n">
        <v>1457.6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신축급제조업소. 총 2개동 중 1동 월세받고 1동 사용가능.</t>
        </is>
      </c>
      <c r="Q205" s="6">
        <f>HYPERLINK("https://fin.land.naver.com/articles/2656144005",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오너스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140000</v>
      </c>
      <c r="G207" s="4" t="n">
        <v>0</v>
      </c>
      <c r="H207" s="4" t="n">
        <v>2948</v>
      </c>
      <c r="I207" s="4" t="n">
        <v>892</v>
      </c>
      <c r="J207" s="5" t="n">
        <v>157</v>
      </c>
      <c r="K207" s="4" t="n">
        <v>998</v>
      </c>
      <c r="L207" s="4" t="n">
        <v>302</v>
      </c>
      <c r="M207" s="5" t="n">
        <v>463.6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HYPERLINK("https://fin.land.naver.com/articles/2655509097",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280000</v>
      </c>
      <c r="G208" s="4" t="n">
        <v>0</v>
      </c>
      <c r="H208" s="4" t="n">
        <v>5897</v>
      </c>
      <c r="I208" s="4" t="n">
        <v>1784</v>
      </c>
      <c r="J208" s="5" t="n">
        <v>157</v>
      </c>
      <c r="K208" s="4" t="n">
        <v>1920</v>
      </c>
      <c r="L208" s="4" t="n">
        <v>581</v>
      </c>
      <c r="M208" s="5" t="n">
        <v>481.9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매매</t>
        </is>
      </c>
      <c r="Q208" s="6">
        <f>HYPERLINK("https://fin.land.naver.com/articles/2652007789",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11237</v>
      </c>
      <c r="I212" s="4" t="n">
        <v>3399</v>
      </c>
      <c r="J212" s="5" t="n">
        <v>0.6</v>
      </c>
      <c r="K212" s="4" t="n">
        <v>3280</v>
      </c>
      <c r="L212" s="4" t="n">
        <v>992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13분, 세종명학산업단지 10분 대형 신축 공장 및 물류창고</t>
        </is>
      </c>
      <c r="Q212" s="6">
        <f>HYPERLINK("https://fin.land.naver.com/articles/2656461912",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청담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140000</v>
      </c>
      <c r="G213" s="4" t="n">
        <v>0</v>
      </c>
      <c r="H213" s="4" t="n">
        <v>2645</v>
      </c>
      <c r="I213" s="4" t="n">
        <v>800</v>
      </c>
      <c r="J213" s="5" t="n">
        <v>175</v>
      </c>
      <c r="K213" s="4" t="n">
        <v>921</v>
      </c>
      <c r="L213" s="4" t="n">
        <v>279</v>
      </c>
      <c r="M213" s="5" t="n">
        <v>501.8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15분 신축 한동 279 층고 10.65m 소음업종가능</t>
        </is>
      </c>
      <c r="Q213" s="6">
        <f>HYPERLINK("https://fin.land.naver.com/articles/2654806126",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4470</v>
      </c>
      <c r="I215" s="4" t="n">
        <v>1352</v>
      </c>
      <c r="J215" s="5" t="n">
        <v>0.5</v>
      </c>
      <c r="K215" s="4" t="n">
        <v>992</v>
      </c>
      <c r="L215" s="4" t="n">
        <v>300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신축, 대형차량 진출입 용이, 남청주ic 14분</t>
        </is>
      </c>
      <c r="Q215" s="6">
        <f>HYPERLINK("https://fin.land.naver.com/articles/2656247736",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나는</t>
        </is>
      </c>
      <c r="U215" s="4" t="n">
        <v>2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 대형창고 임대</t>
        </is>
      </c>
      <c r="Q218" s="6">
        <f>HYPERLINK("https://fin.land.naver.com/articles/2652355457",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4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남청주IC인접.물류 이동 최적.넓은 규모의 대형창고.물류창고</t>
        </is>
      </c>
      <c r="Q220" s="6">
        <f>HYPERLINK("https://fin.land.naver.com/articles/2654721266",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재일</t>
        </is>
      </c>
      <c r="U220" s="4" t="n">
        <v>3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청주공장임대 600제곱미터 보증금4500만원 월450만원 부가세 별도</t>
        </is>
      </c>
      <c r="Q222" s="6">
        <f>HYPERLINK("https://fin.land.naver.com/articles/2656360877",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대박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600</v>
      </c>
      <c r="L224" s="4" t="n">
        <v>182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층고가 높아 3단 적재도 충분한 창고</t>
        </is>
      </c>
      <c r="Q224" s="6">
        <f>HYPERLINK("https://fin.land.naver.com/articles/2652900624",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창고의여왕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HYPERLINK("https://fin.land.naver.com/articles/2650936981",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인근, 광고효과좋은 공장 매매</t>
        </is>
      </c>
      <c r="Q236" s="6">
        <f>HYPERLINK("https://fin.land.naver.com/articles/2655583154",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408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-</t>
        </is>
      </c>
      <c r="P239" s="3" t="inlineStr">
        <is>
          <t>즉시 사용 가능 남청주 IC 인접 광고 및 접근성 좋은 공장 및 창고 임</t>
        </is>
      </c>
      <c r="Q239" s="6">
        <f>HYPERLINK("https://fin.land.naver.com/articles/2655394842",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남청주IC 2분거리,호이스트 2.8톤6개,층고 높고 야드 넓어 활용도 큼</t>
        </is>
      </c>
      <c r="Q240" s="6">
        <f>HYPERLINK("https://fin.land.naver.com/articles/2654660502",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금화랜드</t>
        </is>
      </c>
      <c r="U240" s="4" t="n">
        <v>2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1179</v>
      </c>
      <c r="L241" s="4" t="n">
        <v>357</v>
      </c>
      <c r="M241" s="5" t="n">
        <v>840.3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5분 거리 ,호이스트 2.8톤 6기 ,동력300kw</t>
        </is>
      </c>
      <c r="Q241" s="6">
        <f>HYPERLINK("https://fin.land.naver.com/articles/2656291919",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대성오투그란데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즉시 사용가능 남청주 IC 인근, 호이스트 6개 층고 10M 전력300K</t>
        </is>
      </c>
      <c r="Q242" s="6">
        <f>HYPERLINK("https://fin.land.naver.com/articles/2655488975",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대전토지로무소</t>
        </is>
      </c>
      <c r="U242" s="4" t="n">
        <v>1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56500</v>
      </c>
      <c r="G243" s="4" t="n">
        <v>0</v>
      </c>
      <c r="H243" s="4" t="n">
        <v>2334</v>
      </c>
      <c r="I243" s="4" t="n">
        <v>706</v>
      </c>
      <c r="J243" s="5" t="n">
        <v>80</v>
      </c>
      <c r="K243" s="4" t="n">
        <v>469</v>
      </c>
      <c r="L243" s="4" t="n">
        <v>142</v>
      </c>
      <c r="M243" s="5" t="n">
        <v>397.9</v>
      </c>
      <c r="N243" s="3" t="inlineStr">
        <is>
          <t>1</t>
        </is>
      </c>
      <c r="O243" s="3" t="inlineStr">
        <is>
          <t>-</t>
        </is>
      </c>
      <c r="P243" s="3" t="inlineStr">
        <is>
          <t>남이면 부용외천리 평단가 80만원 파격적인 매매금액</t>
        </is>
      </c>
      <c r="Q243" s="6">
        <f>HYPERLINK("https://fin.land.naver.com/articles/2652920027",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왕중왕기업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</v>
      </c>
      <c r="G244" s="4" t="n">
        <v>0</v>
      </c>
      <c r="H244" s="4" t="n">
        <v>2334</v>
      </c>
      <c r="I244" s="4" t="n">
        <v>706</v>
      </c>
      <c r="J244" s="5" t="n">
        <v>70.8</v>
      </c>
      <c r="K244" s="4" t="n">
        <v>469</v>
      </c>
      <c r="L244" s="4" t="n">
        <v>142</v>
      </c>
      <c r="M244" s="5" t="n">
        <v>352.1</v>
      </c>
      <c r="N244" s="3" t="inlineStr">
        <is>
          <t>1</t>
        </is>
      </c>
      <c r="O244" s="3" t="inlineStr">
        <is>
          <t>B1</t>
        </is>
      </c>
      <c r="P244" s="3" t="inlineStr">
        <is>
          <t>가격조정 가능, 성장관리구역으로 지정된 지역으로 투자가치 높음</t>
        </is>
      </c>
      <c r="Q244" s="6">
        <f>HYPERLINK("https://fin.land.naver.com/articles/2653049407",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하경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신축건물로 주차공간 넓음</t>
        </is>
      </c>
      <c r="Q251" s="6">
        <f>HYPERLINK("https://fin.land.naver.com/articles/2653383986",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길마루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 대로변에서 바로 진입, 해당 건물 앞마당 단독 사용</t>
        </is>
      </c>
      <c r="Q252" s="6">
        <f>HYPERLINK("https://fin.land.naver.com/articles/2656614620",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태성</t>
        </is>
      </c>
      <c r="U252" s="4" t="n">
        <v>3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B1</t>
        </is>
      </c>
      <c r="P254" s="3" t="inlineStr">
        <is>
          <t>청주 남이 상발삼거리, 신축급 제2종근생, 도로변, 넓은 대지</t>
        </is>
      </c>
      <c r="Q254" s="6">
        <f>HYPERLINK("https://fin.land.naver.com/articles/2653740974",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라인</t>
        </is>
      </c>
      <c r="U254" s="4" t="n">
        <v>2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60형 신축 공장 창고 제2종근생</t>
        </is>
      </c>
      <c r="Q255" s="6">
        <f>HYPERLINK("https://fin.land.naver.com/articles/2651814834",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신축급 창고, 진입로 좋음, 제2종근생 제조업소</t>
        </is>
      </c>
      <c r="Q256" s="6">
        <f>HYPERLINK("https://fin.land.naver.com/articles/2654821051",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2000</v>
      </c>
      <c r="G260" s="4" t="n">
        <v>120</v>
      </c>
      <c r="H260" s="4" t="n">
        <v>935</v>
      </c>
      <c r="I260" s="4" t="n">
        <v>283</v>
      </c>
      <c r="J260" s="5" t="n">
        <v>0.4</v>
      </c>
      <c r="K260" s="4" t="n">
        <v>360</v>
      </c>
      <c r="L260" s="4" t="n">
        <v>109</v>
      </c>
      <c r="M260" s="5" t="n">
        <v>1.1</v>
      </c>
      <c r="N260" s="3" t="inlineStr">
        <is>
          <t>2</t>
        </is>
      </c>
      <c r="O260" s="3" t="inlineStr">
        <is>
          <t>B2</t>
        </is>
      </c>
      <c r="P260" s="3" t="inlineStr">
        <is>
          <t>대형차량 진출입 용이, 주차 완전 편리,완전 깨끗한 2종근생 제조업소</t>
        </is>
      </c>
      <c r="Q260" s="6">
        <f>HYPERLINK("https://fin.land.naver.com/articles/2653555067",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HYPERLINK("https://fin.land.naver.com/articles/2652010478",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오너스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사진 有, 2차선대로변 접한 신축 창고 임대</t>
        </is>
      </c>
      <c r="Q267" s="6">
        <f>HYPERLINK("https://fin.land.naver.com/articles/2653837384",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HYPERLINK("https://fin.land.naver.com/articles/2655672570",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1010</v>
      </c>
      <c r="I270" s="4" t="n">
        <v>306</v>
      </c>
      <c r="J270" s="5" t="n">
        <v>0.6</v>
      </c>
      <c r="K270" s="4" t="n">
        <v>182</v>
      </c>
      <c r="L270" s="4" t="n">
        <v>55</v>
      </c>
      <c r="M270" s="5" t="n">
        <v>3.2</v>
      </c>
      <c r="N270" s="3" t="inlineStr">
        <is>
          <t>1</t>
        </is>
      </c>
      <c r="O270" s="3" t="inlineStr">
        <is>
          <t>-</t>
        </is>
      </c>
      <c r="P270" s="3" t="inlineStr">
        <is>
          <t>2차선변에 위치한 소규모창고시설</t>
        </is>
      </c>
      <c r="Q270" s="6">
        <f>HYPERLINK("https://fin.land.naver.com/articles/2651890982",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2000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건물 50형 대지230형</t>
        </is>
      </c>
      <c r="Q271" s="6">
        <f>HYPERLINK("https://fin.land.naver.com/articles/2654155444",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192</v>
      </c>
      <c r="H272" s="4" t="n">
        <v>1753</v>
      </c>
      <c r="I272" s="4" t="n">
        <v>530</v>
      </c>
      <c r="J272" s="5" t="n">
        <v>0.4</v>
      </c>
      <c r="K272" s="4" t="n">
        <v>183</v>
      </c>
      <c r="L272" s="4" t="n">
        <v>55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야적공간 충분한 마당넓은 소형근생창고</t>
        </is>
      </c>
      <c r="Q272" s="6">
        <f>HYPERLINK("https://fin.land.naver.com/articles/2652023570",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724</v>
      </c>
      <c r="I274" s="4" t="n">
        <v>219</v>
      </c>
      <c r="J274" s="5" t="n">
        <v>0.8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신축 창고, 2차선 도로 접, 대형차량 진출입 용이, 접근성 좋음</t>
        </is>
      </c>
      <c r="Q274" s="6">
        <f>HYPERLINK("https://fin.land.naver.com/articles/2655799071",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나는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HYPERLINK("https://fin.land.naver.com/articles/2655910923",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제이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HYPERLINK("https://fin.land.naver.com/articles/2650896451",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HYPERLINK("https://fin.land.naver.com/articles/2650897401",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HYPERLINK("https://fin.land.naver.com/articles/2650949814",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남청주IC와 가까워 진출입이 용이하며, 1층 공장,연구실 3층 사무실</t>
        </is>
      </c>
      <c r="Q297" s="6">
        <f>HYPERLINK("https://fin.land.naver.com/articles/2654986030",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접근성 좋은 위치 공장 기숙사 전력200kw 호이스트설치</t>
        </is>
      </c>
      <c r="Q300" s="6">
        <f>HYPERLINK("https://fin.land.naver.com/articles/2652625373",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호이스트2.8톤,층고7,5m,남청주IC 근접, 대형차량 진출입 용이</t>
        </is>
      </c>
      <c r="Q302" s="6">
        <f>HYPERLINK("https://fin.land.naver.com/articles/2652762894",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금화랜드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신축 첫입주, 남청주IC 및 청남가구단지 인근</t>
        </is>
      </c>
      <c r="Q305" s="6">
        <f>HYPERLINK("https://fin.land.naver.com/articles/2655925210",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6600</v>
      </c>
      <c r="I307" s="4" t="n">
        <v>1996</v>
      </c>
      <c r="J307" s="5" t="n">
        <v>0.5</v>
      </c>
      <c r="K307" s="4" t="n">
        <v>1454</v>
      </c>
      <c r="L307" s="4" t="n">
        <v>440</v>
      </c>
      <c r="M307" s="5" t="n">
        <v>2.3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 분할임대 가능</t>
        </is>
      </c>
      <c r="Q307" s="6">
        <f>HYPERLINK("https://fin.land.naver.com/articles/2651775083",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550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2.5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</t>
        </is>
      </c>
      <c r="Q308" s="6">
        <f>HYPERLINK("https://fin.land.naver.com/articles/2651773919",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400000</v>
      </c>
      <c r="G309" s="4" t="n">
        <v>0</v>
      </c>
      <c r="H309" s="4" t="n">
        <v>6600</v>
      </c>
      <c r="I309" s="4" t="n">
        <v>1996</v>
      </c>
      <c r="J309" s="5" t="n">
        <v>200.4</v>
      </c>
      <c r="K309" s="4" t="n">
        <v>1517</v>
      </c>
      <c r="L309" s="4" t="n">
        <v>459</v>
      </c>
      <c r="M309" s="5" t="n">
        <v>871.5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 깔끔한 사무실겸 숙소완비</t>
        </is>
      </c>
      <c r="Q309" s="6">
        <f>HYPERLINK("https://fin.land.naver.com/articles/2651975021",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12000</v>
      </c>
      <c r="G310" s="4" t="n">
        <v>1200</v>
      </c>
      <c r="H310" s="4" t="n">
        <v>6600</v>
      </c>
      <c r="I310" s="4" t="n">
        <v>1996</v>
      </c>
      <c r="J310" s="5" t="n">
        <v>0.6</v>
      </c>
      <c r="K310" s="4" t="n">
        <v>1451</v>
      </c>
      <c r="L310" s="4" t="n">
        <v>439</v>
      </c>
      <c r="M310" s="5" t="n">
        <v>2.7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공장 임대</t>
        </is>
      </c>
      <c r="Q310" s="6">
        <f>HYPERLINK("https://fin.land.naver.com/articles/2653029386",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500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남청주IC인근 신축대형창고공장 임대 층고높음</t>
        </is>
      </c>
      <c r="Q311" s="6">
        <f>HYPERLINK("https://fin.land.naver.com/articles/2651974388",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태광</t>
        </is>
      </c>
      <c r="U311" s="4" t="n">
        <v>2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350000</v>
      </c>
      <c r="G314" s="4" t="n">
        <v>0</v>
      </c>
      <c r="H314" s="4" t="n">
        <v>3723</v>
      </c>
      <c r="I314" s="4" t="n">
        <v>1126</v>
      </c>
      <c r="J314" s="5" t="n">
        <v>310.8</v>
      </c>
      <c r="K314" s="4" t="n">
        <v>498</v>
      </c>
      <c r="L314" s="4" t="n">
        <v>151</v>
      </c>
      <c r="M314" s="5" t="n">
        <v>2317.9</v>
      </c>
      <c r="N314" s="3" t="inlineStr">
        <is>
          <t>2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HYPERLINK("https://fin.land.naver.com/articles/2652938811",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이계형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1150</v>
      </c>
      <c r="H323" s="4" t="n">
        <v>4250</v>
      </c>
      <c r="I323" s="4" t="n">
        <v>1286</v>
      </c>
      <c r="J323" s="5" t="n">
        <v>0.9</v>
      </c>
      <c r="K323" s="4" t="n">
        <v>1691</v>
      </c>
      <c r="L323" s="4" t="n">
        <v>512</v>
      </c>
      <c r="M323" s="5" t="n">
        <v>2.2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9분, 2차선도로변, 마당넓은 물류창고 가능한 공장 임대</t>
        </is>
      </c>
      <c r="Q323" s="6">
        <f>HYPERLINK("https://fin.land.naver.com/articles/2655967074",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청담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넓은 마당 확보. 넓은 면적가능</t>
        </is>
      </c>
      <c r="Q324" s="6">
        <f>HYPERLINK("https://fin.land.naver.com/articles/2656350968",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11700</v>
      </c>
      <c r="G325" s="4" t="n">
        <v>1170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HYPERLINK("https://fin.land.naver.com/articles/2651592951",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6870</v>
      </c>
      <c r="G326" s="4" t="n">
        <v>687</v>
      </c>
      <c r="H326" s="4" t="n">
        <v>2473</v>
      </c>
      <c r="I326" s="4" t="n">
        <v>748</v>
      </c>
      <c r="J326" s="5" t="n">
        <v>0.9</v>
      </c>
      <c r="K326" s="4" t="n">
        <v>987</v>
      </c>
      <c r="L326" s="4" t="n">
        <v>299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청주창고임대  남청주IC 인근 마당 넓은 저렴한 대형 공장창고</t>
        </is>
      </c>
      <c r="Q326" s="6">
        <f>HYPERLINK("https://fin.land.naver.com/articles/2656336358",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KS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척산삼거리 인근, 도로변, 55형, 창고, 2개동사용가능, 넓은 마당</t>
        </is>
      </c>
      <c r="Q332" s="6">
        <f>HYPERLINK("https://fin.land.naver.com/articles/2656042964",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라인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1055</v>
      </c>
      <c r="I333" s="4" t="n">
        <v>319</v>
      </c>
      <c r="J333" s="5" t="n">
        <v>0.4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HYPERLINK("https://fin.land.naver.com/articles/2653266534",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청주원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척산삼거리 인근 마당 넓음, 2차선 대로변에서 진입</t>
        </is>
      </c>
      <c r="Q335" s="6">
        <f>HYPERLINK("https://fin.land.naver.com/articles/2655092124",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1100000</v>
      </c>
      <c r="G343" s="4" t="n">
        <v>0</v>
      </c>
      <c r="H343" s="4" t="n">
        <v>10144</v>
      </c>
      <c r="I343" s="4" t="n">
        <v>3069</v>
      </c>
      <c r="J343" s="5" t="n">
        <v>358.4</v>
      </c>
      <c r="K343" s="4" t="n">
        <v>9117</v>
      </c>
      <c r="L343" s="4" t="n">
        <v>2758</v>
      </c>
      <c r="M343" s="5" t="n">
        <v>398.8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 대형차 진출입 용이한 관리 잘 된 대형공장, 창고</t>
        </is>
      </c>
      <c r="Q343" s="6">
        <f>HYPERLINK("https://fin.land.naver.com/articles/2652105829",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12000</v>
      </c>
      <c r="G344" s="4" t="n">
        <v>1200</v>
      </c>
      <c r="H344" s="4" t="n">
        <v>10144</v>
      </c>
      <c r="I344" s="4" t="n">
        <v>3069</v>
      </c>
      <c r="J344" s="5" t="n">
        <v>0.4</v>
      </c>
      <c r="K344" s="4" t="n">
        <v>1808</v>
      </c>
      <c r="L344" s="4" t="n">
        <v>547</v>
      </c>
      <c r="M344" s="5" t="n">
        <v>2.2</v>
      </c>
      <c r="N344" s="3" t="inlineStr">
        <is>
          <t>3</t>
        </is>
      </c>
      <c r="O344" s="3" t="inlineStr">
        <is>
          <t>-</t>
        </is>
      </c>
      <c r="P344" s="3" t="inlineStr">
        <is>
          <t>남청주IC인근,관리잘된 대형공장, 화물용 엘리베이터, 대형차 진입용이</t>
        </is>
      </c>
      <c r="Q344" s="6">
        <f>HYPERLINK("https://fin.land.naver.com/articles/2652109467",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(주)미르</t>
        </is>
      </c>
      <c r="U344" s="4" t="n">
        <v>1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즉시 입주 가능,주차 공간 넓어 대형차량 진출입,회전 편리</t>
        </is>
      </c>
      <c r="Q353" s="6">
        <f>HYPERLINK("https://fin.land.naver.com/articles/2650939836",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4000</v>
      </c>
      <c r="G354" s="4" t="n">
        <v>400</v>
      </c>
      <c r="H354" s="4" t="n">
        <v>1749</v>
      </c>
      <c r="I354" s="4" t="n">
        <v>529</v>
      </c>
      <c r="J354" s="5" t="n">
        <v>0.8</v>
      </c>
      <c r="K354" s="4" t="n">
        <v>678</v>
      </c>
      <c r="L354" s="4" t="n">
        <v>205</v>
      </c>
      <c r="M354" s="5" t="n">
        <v>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척산리 창고 월세,  마당 넓어요, 즉시입주 가능</t>
        </is>
      </c>
      <c r="Q354" s="6">
        <f>HYPERLINK("https://fin.land.naver.com/articles/2652902119",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120000</v>
      </c>
      <c r="G355" s="4" t="n">
        <v>0</v>
      </c>
      <c r="H355" s="4" t="n">
        <v>1749</v>
      </c>
      <c r="I355" s="4" t="n">
        <v>529</v>
      </c>
      <c r="J355" s="5" t="n">
        <v>226.8</v>
      </c>
      <c r="K355" s="4" t="n">
        <v>678</v>
      </c>
      <c r="L355" s="4" t="n">
        <v>205</v>
      </c>
      <c r="M355" s="5" t="n">
        <v>585.4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남청주IC근처  척산리 공장 매매.대형차량진입가능.</t>
        </is>
      </c>
      <c r="Q355" s="6">
        <f>HYPERLINK("https://fin.land.naver.com/articles/2650966213",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방서에이스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100000</v>
      </c>
      <c r="G356" s="4" t="n">
        <v>0</v>
      </c>
      <c r="H356" s="4" t="n">
        <v>1749</v>
      </c>
      <c r="I356" s="4" t="n">
        <v>529</v>
      </c>
      <c r="J356" s="5" t="n">
        <v>189</v>
      </c>
      <c r="K356" s="4" t="n">
        <v>678</v>
      </c>
      <c r="L356" s="4" t="n">
        <v>205</v>
      </c>
      <c r="M356" s="5" t="n">
        <v>487.8</v>
      </c>
      <c r="N356" s="3" t="inlineStr">
        <is>
          <t>1</t>
        </is>
      </c>
      <c r="O356" s="3" t="inlineStr">
        <is>
          <t>-</t>
        </is>
      </c>
      <c r="P356" s="3" t="inlineStr">
        <is>
          <t>남이면  척산리 창고 매매, 남청주ic 인접, 마당 넓음, 유통물류 추천</t>
        </is>
      </c>
      <c r="Q356" s="6">
        <f>HYPERLINK("https://fin.land.naver.com/articles/2652903126",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산남태강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341</v>
      </c>
      <c r="L358" s="4" t="n">
        <v>103</v>
      </c>
      <c r="M358" s="5" t="n">
        <v>3.9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남청주IC근처  척산리 공장 임대.대형차량진입가능.</t>
        </is>
      </c>
      <c r="Q358" s="6">
        <f>HYPERLINK("https://fin.land.naver.com/articles/2651304270",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방서에이스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110000</v>
      </c>
      <c r="G359" s="4" t="n">
        <v>0</v>
      </c>
      <c r="H359" s="4" t="n">
        <v>1749</v>
      </c>
      <c r="I359" s="4" t="n">
        <v>529</v>
      </c>
      <c r="J359" s="5" t="n">
        <v>207.9</v>
      </c>
      <c r="K359" s="4" t="n">
        <v>341</v>
      </c>
      <c r="L359" s="4" t="n">
        <v>103</v>
      </c>
      <c r="M359" s="5" t="n">
        <v>1068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남청주ic까지 6차선확장예정.진입로25t가능.남청줏ic5분거리</t>
        </is>
      </c>
      <c r="Q359" s="6">
        <f>HYPERLINK("https://fin.land.naver.com/articles/2653147017",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옥산제일사무소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678</v>
      </c>
      <c r="L360" s="4" t="n">
        <v>205</v>
      </c>
      <c r="M360" s="5" t="n">
        <v>536.6</v>
      </c>
      <c r="N360" s="3" t="inlineStr">
        <is>
          <t>1</t>
        </is>
      </c>
      <c r="O360" s="3" t="inlineStr">
        <is>
          <t>-</t>
        </is>
      </c>
      <c r="P360" s="3" t="inlineStr">
        <is>
          <t>빠른입주 가능,남청주IC 인근위치, 야드 넓어 대형차량 회전 용이</t>
        </is>
      </c>
      <c r="Q360" s="6">
        <f>HYPERLINK("https://fin.land.naver.com/articles/2655142292",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건물 80형 공장 창고</t>
        </is>
      </c>
      <c r="Q364" s="6">
        <f>HYPERLINK("https://fin.land.naver.com/articles/2655779909",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HYPERLINK("https://fin.land.naver.com/articles/2655858254",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청주합동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HYPERLINK("https://fin.land.naver.com/articles/2650955465",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진출입 용이, 소형 창고용도로 추천 드림, 사무실 및 화장실 있음</t>
        </is>
      </c>
      <c r="Q367" s="6">
        <f>HYPERLINK("https://fin.land.naver.com/articles/2652675497",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제이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2</t>
        </is>
      </c>
      <c r="O370" s="3" t="inlineStr">
        <is>
          <t>-</t>
        </is>
      </c>
      <c r="P370" s="3" t="inlineStr">
        <is>
          <t>건물100형 현재공실 즉시입주</t>
        </is>
      </c>
      <c r="Q370" s="6">
        <f>HYPERLINK("https://fin.land.naver.com/articles/2652949716",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8분 시내권 접근성 좋은 위치 제조나 창고 가능</t>
        </is>
      </c>
      <c r="Q371" s="6">
        <f>HYPERLINK("https://fin.land.naver.com/articles/2652265474",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500</v>
      </c>
      <c r="G374" s="4" t="n">
        <v>65</v>
      </c>
      <c r="H374" s="4" t="n">
        <v>1057</v>
      </c>
      <c r="I374" s="4" t="n">
        <v>320</v>
      </c>
      <c r="J374" s="5" t="n">
        <v>0.2</v>
      </c>
      <c r="K374" s="4" t="n">
        <v>111</v>
      </c>
      <c r="L374" s="4" t="n">
        <v>34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부담없는 임대료로 사용 가능한 실용적인 창고입니다.</t>
        </is>
      </c>
      <c r="Q374" s="6">
        <f>HYPERLINK("https://fin.land.naver.com/articles/2653037551",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진천금손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1000</v>
      </c>
      <c r="G375" s="4" t="n">
        <v>110</v>
      </c>
      <c r="H375" s="4" t="n">
        <v>1058</v>
      </c>
      <c r="I375" s="4" t="n">
        <v>320</v>
      </c>
      <c r="J375" s="5" t="n">
        <v>0.3</v>
      </c>
      <c r="K375" s="4" t="n">
        <v>189</v>
      </c>
      <c r="L375" s="4" t="n">
        <v>57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건물 55형 일반창고 35형 사무실도 있음</t>
        </is>
      </c>
      <c r="Q375" s="6">
        <f>HYPERLINK("https://fin.land.naver.com/articles/2652949730",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330</v>
      </c>
      <c r="H377" s="4" t="n">
        <v>1357</v>
      </c>
      <c r="I377" s="4" t="n">
        <v>410</v>
      </c>
      <c r="J377" s="5" t="n">
        <v>0.8</v>
      </c>
      <c r="K377" s="4" t="n">
        <v>492</v>
      </c>
      <c r="L377" s="4" t="n">
        <v>149</v>
      </c>
      <c r="M377" s="5" t="n">
        <v>2.2</v>
      </c>
      <c r="N377" s="3" t="inlineStr">
        <is>
          <t>1</t>
        </is>
      </c>
      <c r="O377" s="3" t="inlineStr">
        <is>
          <t>-</t>
        </is>
      </c>
      <c r="P377" s="3" t="inlineStr">
        <is>
          <t>도로에 접하는 물류이동이 좋은 위치의 넓은 창고용도 임대 물건이예요</t>
        </is>
      </c>
      <c r="Q377" s="6">
        <f>HYPERLINK("https://fin.land.naver.com/articles/2655034807",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4989명품</t>
        </is>
      </c>
      <c r="U377" s="4" t="n">
        <v>2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인근 척산리, 공장 창고, 넓은마당, 임대료 조절, 즉시입주</t>
        </is>
      </c>
      <c r="Q378" s="6">
        <f>HYPERLINK("https://fin.land.naver.com/articles/2651938990",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라인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남청주i,c  5분위치 단독공장 내부사무실 화장실 대형진입</t>
        </is>
      </c>
      <c r="Q380" s="6">
        <f>HYPERLINK("https://fin.land.naver.com/articles/2656214871",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공장365</t>
        </is>
      </c>
      <c r="U380" s="4" t="n">
        <v>3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창고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세종시 부강 산업단지 옆 공장 및 창고 입니다</t>
        </is>
      </c>
      <c r="Q391" s="6">
        <f>HYPERLINK("https://fin.land.naver.com/articles/2652016240",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9분 세종 부강일반산업단지 옆 단독 소형 공장임대</t>
        </is>
      </c>
      <c r="Q393" s="6">
        <f>HYPERLINK("https://fin.land.naver.com/articles/2650873411",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더원</t>
        </is>
      </c>
      <c r="U393" s="4" t="n">
        <v>3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12000</v>
      </c>
      <c r="G395" s="4" t="n">
        <v>3700</v>
      </c>
      <c r="H395" s="4" t="n">
        <v>13866</v>
      </c>
      <c r="I395" s="4" t="n">
        <v>4194</v>
      </c>
      <c r="J395" s="5" t="n">
        <v>0.9</v>
      </c>
      <c r="K395" s="4" t="n">
        <v>6367</v>
      </c>
      <c r="L395" s="4" t="n">
        <v>1926</v>
      </c>
      <c r="M395" s="5" t="n">
        <v>1.9</v>
      </c>
      <c r="N395" s="3" t="inlineStr">
        <is>
          <t>1</t>
        </is>
      </c>
      <c r="O395" s="3" t="inlineStr">
        <is>
          <t>B1</t>
        </is>
      </c>
      <c r="P395" s="3" t="inlineStr">
        <is>
          <t>사진有 공장 임대</t>
        </is>
      </c>
      <c r="Q395" s="6">
        <f>HYPERLINK("https://fin.land.naver.com/articles/2652068004",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1400000</v>
      </c>
      <c r="G397" s="4" t="n">
        <v>0</v>
      </c>
      <c r="H397" s="4" t="n">
        <v>13866</v>
      </c>
      <c r="I397" s="4" t="n">
        <v>4194</v>
      </c>
      <c r="J397" s="5" t="n">
        <v>333.8</v>
      </c>
      <c r="K397" s="4" t="n">
        <v>6367</v>
      </c>
      <c r="L397" s="4" t="n">
        <v>1926</v>
      </c>
      <c r="M397" s="5" t="n">
        <v>726.9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대형공장 1층 단층구조 연1926p</t>
        </is>
      </c>
      <c r="Q397" s="6">
        <f>HYPERLINK("https://fin.land.naver.com/articles/2653014661",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공장플러스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사진有 2종근생 공장 임대</t>
        </is>
      </c>
      <c r="Q398" s="6">
        <f>HYPERLINK("https://fin.land.naver.com/articles/2652988007",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부강산업단지 인근 야적장 넓은 공장 창고 임대</t>
        </is>
      </c>
      <c r="Q399" s="6">
        <f>HYPERLINK("https://fin.land.naver.com/articles/2652390959",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KS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부강 산업단지 인접한 공장 및 창고 입니다</t>
        </is>
      </c>
      <c r="Q400" s="6">
        <f>HYPERLINK("https://fin.land.naver.com/articles/2652033586",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더행복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층고 높고 마당 넓음, 부강산업단지 인근, 즉시입주 가능</t>
        </is>
      </c>
      <c r="Q401" s="6">
        <f>HYPERLINK("https://fin.land.naver.com/articles/2651475999",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제이</t>
        </is>
      </c>
      <c r="U401" s="4" t="n">
        <v>3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210000</v>
      </c>
      <c r="G402" s="4" t="n">
        <v>0</v>
      </c>
      <c r="H402" s="4" t="n">
        <v>2498</v>
      </c>
      <c r="I402" s="4" t="n">
        <v>756</v>
      </c>
      <c r="J402" s="5" t="n">
        <v>277.8</v>
      </c>
      <c r="K402" s="4" t="n">
        <v>755</v>
      </c>
      <c r="L402" s="4" t="n">
        <v>228</v>
      </c>
      <c r="M402" s="5" t="n">
        <v>921.1</v>
      </c>
      <c r="N402" s="3" t="inlineStr">
        <is>
          <t>2</t>
        </is>
      </c>
      <c r="O402" s="3" t="inlineStr">
        <is>
          <t>-</t>
        </is>
      </c>
      <c r="P402" s="3" t="inlineStr">
        <is>
          <t>사진有 공장 매매</t>
        </is>
      </c>
      <c r="Q402" s="6">
        <f>HYPERLINK("https://fin.land.naver.com/articles/2651075109",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2498</v>
      </c>
      <c r="I404" s="4" t="n">
        <v>756</v>
      </c>
      <c r="J404" s="5" t="n">
        <v>264.6</v>
      </c>
      <c r="K404" s="4" t="n">
        <v>755</v>
      </c>
      <c r="L404" s="4" t="n">
        <v>228</v>
      </c>
      <c r="M404" s="5" t="n">
        <v>877.2</v>
      </c>
      <c r="N404" s="3" t="inlineStr">
        <is>
          <t>2</t>
        </is>
      </c>
      <c r="O404" s="3" t="inlineStr">
        <is>
          <t>-</t>
        </is>
      </c>
      <c r="P404" s="3" t="inlineStr">
        <is>
          <t>2년전 리모델링 완료, 단독건물, 1층소매점,2층공장 겸 사무실</t>
        </is>
      </c>
      <c r="Q404" s="6">
        <f>HYPERLINK("https://fin.land.naver.com/articles/2655921066",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15000</v>
      </c>
      <c r="G408" s="4" t="n">
        <v>1500</v>
      </c>
      <c r="H408" s="4" t="n">
        <v>9566</v>
      </c>
      <c r="I408" s="4" t="n">
        <v>2894</v>
      </c>
      <c r="J408" s="5" t="n">
        <v>0.5</v>
      </c>
      <c r="K408" s="4" t="n">
        <v>1793</v>
      </c>
      <c r="L408" s="4" t="n">
        <v>542</v>
      </c>
      <c r="M408" s="5" t="n">
        <v>2.8</v>
      </c>
      <c r="N408" s="3" t="inlineStr">
        <is>
          <t>1</t>
        </is>
      </c>
      <c r="O408" s="3" t="inlineStr">
        <is>
          <t>-</t>
        </is>
      </c>
      <c r="P408" s="3" t="inlineStr">
        <is>
          <t>신탄진IC남청주IC와 중간위치, 대형차 진출입이 편리한곳,호이스트있음</t>
        </is>
      </c>
      <c r="Q408" s="6">
        <f>HYPERLINK("https://fin.land.naver.com/articles/2654296586",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570000</v>
      </c>
      <c r="G409" s="4" t="n">
        <v>0</v>
      </c>
      <c r="H409" s="4" t="n">
        <v>9585</v>
      </c>
      <c r="I409" s="4" t="n">
        <v>2899</v>
      </c>
      <c r="J409" s="5" t="n">
        <v>196.6</v>
      </c>
      <c r="K409" s="4" t="n">
        <v>1793</v>
      </c>
      <c r="L409" s="4" t="n">
        <v>542</v>
      </c>
      <c r="M409" s="5" t="n">
        <v>1051.7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남청주ic, 신탄진ic 접근성 우수 호이스트설치 전력700kw</t>
        </is>
      </c>
      <c r="Q409" s="6">
        <f>HYPERLINK("https://fin.land.naver.com/articles/2656175154",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9585</v>
      </c>
      <c r="I410" s="4" t="n">
        <v>2899</v>
      </c>
      <c r="J410" s="5" t="n">
        <v>0.2</v>
      </c>
      <c r="K410" s="4" t="n">
        <v>716</v>
      </c>
      <c r="L410" s="4" t="n">
        <v>217</v>
      </c>
      <c r="M410" s="5" t="n">
        <v>2.3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남청주ic, 신탄진ic 접근성 우수 호이스트 설치된 공장</t>
        </is>
      </c>
      <c r="Q410" s="6">
        <f>HYPERLINK("https://fin.land.naver.com/articles/2656175175",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570000</v>
      </c>
      <c r="G411" s="4" t="n">
        <v>0</v>
      </c>
      <c r="H411" s="4" t="n">
        <v>9566</v>
      </c>
      <c r="I411" s="4" t="n">
        <v>2894</v>
      </c>
      <c r="J411" s="5" t="n">
        <v>197</v>
      </c>
      <c r="K411" s="4" t="n">
        <v>1793</v>
      </c>
      <c r="L411" s="4" t="n">
        <v>542</v>
      </c>
      <c r="M411" s="5" t="n">
        <v>1051.7</v>
      </c>
      <c r="N411" s="3" t="inlineStr">
        <is>
          <t>1</t>
        </is>
      </c>
      <c r="O411" s="3" t="inlineStr">
        <is>
          <t>-</t>
        </is>
      </c>
      <c r="P411" s="3" t="inlineStr">
        <is>
          <t>제조업,재활용업 다용도 공장 가능,민원 없고 대형차량 진출입이 편리</t>
        </is>
      </c>
      <c r="Q411" s="6">
        <f>HYPERLINK("https://fin.land.naver.com/articles/2656289186",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금화랜드</t>
        </is>
      </c>
      <c r="U411" s="4" t="n">
        <v>2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15000</v>
      </c>
      <c r="G412" s="4" t="n">
        <v>1500</v>
      </c>
      <c r="H412" s="4" t="n">
        <v>8600</v>
      </c>
      <c r="I412" s="4" t="n">
        <v>2602</v>
      </c>
      <c r="J412" s="5" t="n">
        <v>0.6</v>
      </c>
      <c r="K412" s="4" t="n">
        <v>1793</v>
      </c>
      <c r="L412" s="4" t="n">
        <v>542</v>
      </c>
      <c r="M412" s="5" t="n">
        <v>2.8</v>
      </c>
      <c r="N412" s="3" t="inlineStr">
        <is>
          <t>2</t>
        </is>
      </c>
      <c r="O412" s="3" t="inlineStr">
        <is>
          <t>-</t>
        </is>
      </c>
      <c r="P412" s="3" t="inlineStr">
        <is>
          <t>계획관리지역 넓은 야드 층고 높은 공장임대 보1억5천 월1500 매매가능</t>
        </is>
      </c>
      <c r="Q412" s="6">
        <f>HYPERLINK("https://fin.land.naver.com/articles/2654036469",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불당대원</t>
        </is>
      </c>
      <c r="U412" s="4" t="n">
        <v>1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9585</v>
      </c>
      <c r="I413" s="4" t="n">
        <v>2899</v>
      </c>
      <c r="J413" s="5" t="n">
        <v>0.2</v>
      </c>
      <c r="K413" s="4" t="n">
        <v>716</v>
      </c>
      <c r="L413" s="4" t="n">
        <v>217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HYPERLINK("https://fin.land.naver.com/articles/2652988033",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남청주IC에서 4분</t>
        </is>
      </c>
      <c r="Q419" s="6">
        <f>HYPERLINK("https://fin.land.naver.com/articles/2651822681",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미더스</t>
        </is>
      </c>
      <c r="U419" s="4" t="n">
        <v>2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1408</v>
      </c>
      <c r="L420" s="4" t="n">
        <v>426</v>
      </c>
      <c r="M420" s="5" t="n">
        <v>1760.6</v>
      </c>
      <c r="N420" s="3" t="inlineStr">
        <is>
          <t>2</t>
        </is>
      </c>
      <c r="O420" s="3" t="inlineStr">
        <is>
          <t>-</t>
        </is>
      </c>
      <c r="P420" s="3" t="inlineStr">
        <is>
          <t>nan</t>
        </is>
      </c>
      <c r="Q420" s="6">
        <f>HYPERLINK("https://fin.land.naver.com/articles/2653632764",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다온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기타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세종시 부강면 차량진출입 용이한 소형 창고임대</t>
        </is>
      </c>
      <c r="Q427" s="6">
        <f>HYPERLINK("https://fin.land.naver.com/articles/2656449173",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신탄진다온</t>
        </is>
      </c>
      <c r="U427" s="4" t="n">
        <v>2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330</v>
      </c>
      <c r="I428" s="4" t="n">
        <v>100</v>
      </c>
      <c r="J428" s="5" t="n">
        <v>1.4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소형 창고 임대 대로변에 접하여 진출입 매우 용이 근생건물</t>
        </is>
      </c>
      <c r="Q428" s="6">
        <f>HYPERLINK("https://fin.land.naver.com/articles/2654877663",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2499</v>
      </c>
      <c r="I429" s="4" t="n">
        <v>756</v>
      </c>
      <c r="J429" s="5" t="n">
        <v>0.2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사진0, 제조업 가능하고 대형차량 진입 자유로운 창고임대</t>
        </is>
      </c>
      <c r="Q429" s="6">
        <f>HYPERLINK("https://fin.land.naver.com/articles/2655582732",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240000</v>
      </c>
      <c r="G434" s="4" t="n">
        <v>0</v>
      </c>
      <c r="H434" s="4" t="n">
        <v>2874</v>
      </c>
      <c r="I434" s="4" t="n">
        <v>869</v>
      </c>
      <c r="J434" s="5" t="n">
        <v>276.2</v>
      </c>
      <c r="K434" s="4" t="n">
        <v>1375</v>
      </c>
      <c r="L434" s="4" t="n">
        <v>416</v>
      </c>
      <c r="M434" s="5" t="n">
        <v>576.9</v>
      </c>
      <c r="N434" s="3" t="inlineStr">
        <is>
          <t>1</t>
        </is>
      </c>
      <c r="O434" s="3" t="inlineStr">
        <is>
          <t>-</t>
        </is>
      </c>
      <c r="P434" s="3" t="inlineStr">
        <is>
          <t>민원없는 지역 공장 매매 건물2개동으로 분할매매 가능 남청주 IC 인접</t>
        </is>
      </c>
      <c r="Q434" s="6">
        <f>HYPERLINK("https://fin.land.naver.com/articles/2651910732",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240000</v>
      </c>
      <c r="G435" s="4" t="n">
        <v>0</v>
      </c>
      <c r="H435" s="4" t="n">
        <v>2874</v>
      </c>
      <c r="I435" s="4" t="n">
        <v>869</v>
      </c>
      <c r="J435" s="5" t="n">
        <v>276.2</v>
      </c>
      <c r="K435" s="4" t="n">
        <v>1375</v>
      </c>
      <c r="L435" s="4" t="n">
        <v>416</v>
      </c>
      <c r="M435" s="5" t="n">
        <v>576.9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남청주IC와가까워 대형차진출입이 용이,계획관리지역,6m 도로에접함</t>
        </is>
      </c>
      <c r="Q435" s="6">
        <f>HYPERLINK("https://fin.land.naver.com/articles/2656249186",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(주)미르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2000</v>
      </c>
      <c r="G436" s="4" t="n">
        <v>245</v>
      </c>
      <c r="H436" s="4" t="n">
        <v>1326</v>
      </c>
      <c r="I436" s="4" t="n">
        <v>401</v>
      </c>
      <c r="J436" s="5" t="n">
        <v>0.6</v>
      </c>
      <c r="K436" s="4" t="n">
        <v>929</v>
      </c>
      <c r="L436" s="4" t="n">
        <v>281</v>
      </c>
      <c r="M436" s="5" t="n">
        <v>0.9</v>
      </c>
      <c r="N436" s="3" t="inlineStr">
        <is>
          <t>2</t>
        </is>
      </c>
      <c r="O436" s="3" t="inlineStr">
        <is>
          <t>-</t>
        </is>
      </c>
      <c r="P436" s="3" t="inlineStr">
        <is>
          <t>1층 창고, 2층 제조업소 각 임대 가능</t>
        </is>
      </c>
      <c r="Q436" s="6">
        <f>HYPERLINK("https://fin.land.naver.com/articles/2653531252",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어반나래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130000</v>
      </c>
      <c r="G437" s="4" t="n">
        <v>0</v>
      </c>
      <c r="H437" s="4" t="n">
        <v>1705</v>
      </c>
      <c r="I437" s="4" t="n">
        <v>516</v>
      </c>
      <c r="J437" s="5" t="n">
        <v>251.9</v>
      </c>
      <c r="K437" s="4" t="n">
        <v>929</v>
      </c>
      <c r="L437" s="4" t="n">
        <v>281</v>
      </c>
      <c r="M437" s="5" t="n">
        <v>462.6</v>
      </c>
      <c r="N437" s="3" t="inlineStr">
        <is>
          <t>2</t>
        </is>
      </c>
      <c r="O437" s="3" t="inlineStr">
        <is>
          <t>-</t>
        </is>
      </c>
      <c r="P437" s="3" t="inlineStr">
        <is>
          <t>민원 없는  남 청주 IC인근 대형차 진 출입 편리한 공장, 창고</t>
        </is>
      </c>
      <c r="Q437" s="6">
        <f>HYPERLINK("https://fin.land.naver.com/articles/2651947886",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사진ok, 제2종근린생활시설  제조업가능한  창고매매 .</t>
        </is>
      </c>
      <c r="Q439" s="6">
        <f>HYPERLINK("https://fin.land.naver.com/articles/2655101140",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비전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공장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7분,공장등록가능, 대기업 사업 아이템인수가능</t>
        </is>
      </c>
      <c r="Q440" s="6">
        <f>HYPERLINK("https://fin.land.naver.com/articles/2655020169",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대성오투그란데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B1</t>
        </is>
      </c>
      <c r="P450" s="3" t="inlineStr">
        <is>
          <t>2020년 준공2022년 크린룸 신설  최신 제조공장, 즉시 입주</t>
        </is>
      </c>
      <c r="Q450" s="6">
        <f>HYPERLINK("https://fin.land.naver.com/articles/2651655971",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진진</t>
        </is>
      </c>
      <c r="U450" s="4" t="n">
        <v>1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-</t>
        </is>
      </c>
      <c r="P451" s="3" t="inlineStr">
        <is>
          <t>클린룸 시설 완비,종이,화학,의료,의약,고무,플라스틱,금속 등 입주 가능</t>
        </is>
      </c>
      <c r="Q451" s="6">
        <f>HYPERLINK("https://fin.land.naver.com/articles/2654324217",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금화랜드</t>
        </is>
      </c>
      <c r="U451" s="4" t="n">
        <v>2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8595</v>
      </c>
      <c r="I452" s="4" t="n">
        <v>2600</v>
      </c>
      <c r="J452" s="5" t="n">
        <v>0.7</v>
      </c>
      <c r="K452" s="4" t="n">
        <v>4251</v>
      </c>
      <c r="L452" s="4" t="n">
        <v>1286</v>
      </c>
      <c r="M452" s="5" t="n">
        <v>1.3</v>
      </c>
      <c r="N452" s="3" t="inlineStr">
        <is>
          <t>2</t>
        </is>
      </c>
      <c r="O452" s="3" t="inlineStr">
        <is>
          <t>-</t>
        </is>
      </c>
      <c r="P452" s="3" t="inlineStr">
        <is>
          <t>현재공실,호이스트 3t.5t다수 설치됨, 전력700kw,층고 높은 공장</t>
        </is>
      </c>
      <c r="Q452" s="6">
        <f>HYPERLINK("https://fin.land.naver.com/articles/2655953623",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금화랜드</t>
        </is>
      </c>
      <c r="U452" s="4" t="n">
        <v>2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8809</v>
      </c>
      <c r="I453" s="4" t="n">
        <v>2665</v>
      </c>
      <c r="J453" s="5" t="n">
        <v>0.6</v>
      </c>
      <c r="K453" s="4" t="n">
        <v>2248</v>
      </c>
      <c r="L453" s="4" t="n">
        <v>680</v>
      </c>
      <c r="M453" s="5" t="n">
        <v>2.5</v>
      </c>
      <c r="N453" s="3" t="inlineStr">
        <is>
          <t>1</t>
        </is>
      </c>
      <c r="O453" s="3" t="inlineStr">
        <is>
          <t>-</t>
        </is>
      </c>
      <c r="P453" s="3" t="inlineStr">
        <is>
          <t>소정면 남천안IC근접 호이스트 공장임대</t>
        </is>
      </c>
      <c r="Q453" s="6">
        <f>HYPERLINK("https://fin.land.naver.com/articles/2654826455",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한울</t>
        </is>
      </c>
      <c r="U453" s="4" t="n">
        <v>1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HYPERLINK("https://fin.land.naver.com/articles/2655431787",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크라운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3676</v>
      </c>
      <c r="L455" s="4" t="n">
        <v>1112</v>
      </c>
      <c r="M455" s="5" t="n">
        <v>2.2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세종첨담산업단지내 공장임대 전기990kw 층고12m 호이스트다수 C25</t>
        </is>
      </c>
      <c r="Q455" s="6">
        <f>HYPERLINK("https://fin.land.naver.com/articles/2655367254",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태양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25000</v>
      </c>
      <c r="G457" s="4" t="n">
        <v>2500</v>
      </c>
      <c r="H457" s="4" t="n">
        <v>23570</v>
      </c>
      <c r="I457" s="4" t="n">
        <v>7130</v>
      </c>
      <c r="J457" s="5" t="n">
        <v>0.4</v>
      </c>
      <c r="K457" s="4" t="n">
        <v>5515</v>
      </c>
      <c r="L457" s="4" t="n">
        <v>1668</v>
      </c>
      <c r="M457" s="5" t="n">
        <v>1.5</v>
      </c>
      <c r="N457" s="3" t="inlineStr">
        <is>
          <t>3</t>
        </is>
      </c>
      <c r="O457" s="3" t="inlineStr">
        <is>
          <t>-</t>
        </is>
      </c>
      <c r="P457" s="3" t="inlineStr">
        <is>
          <t>즉시입주가능,호이스트 다수 설치된 층고 높고 야드 넓은 공장</t>
        </is>
      </c>
      <c r="Q457" s="6">
        <f>HYPERLINK("https://fin.land.naver.com/articles/2654960761",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금화랜드</t>
        </is>
      </c>
      <c r="U457" s="4" t="n">
        <v>1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5515</v>
      </c>
      <c r="L458" s="4" t="n">
        <v>1668</v>
      </c>
      <c r="M458" s="5" t="n">
        <v>1.5</v>
      </c>
      <c r="N458" s="3" t="inlineStr">
        <is>
          <t>2</t>
        </is>
      </c>
      <c r="O458" s="3" t="inlineStr">
        <is>
          <t>-</t>
        </is>
      </c>
      <c r="P458" s="3" t="inlineStr">
        <is>
          <t>남천안IC 6분 세종첨단산업단지내 호이스트 넓은야드 C25 대형공장</t>
        </is>
      </c>
      <c r="Q458" s="6">
        <f>HYPERLINK("https://fin.land.naver.com/articles/2654036267",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불당대원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2300000</v>
      </c>
      <c r="G459" s="4" t="n">
        <v>0</v>
      </c>
      <c r="H459" s="4" t="n">
        <v>23575</v>
      </c>
      <c r="I459" s="4" t="n">
        <v>7131</v>
      </c>
      <c r="J459" s="5" t="n">
        <v>322.5</v>
      </c>
      <c r="K459" s="4" t="n">
        <v>5520</v>
      </c>
      <c r="L459" s="4" t="n">
        <v>1670</v>
      </c>
      <c r="M459" s="5" t="n">
        <v>1377.2</v>
      </c>
      <c r="N459" s="3" t="inlineStr">
        <is>
          <t>1</t>
        </is>
      </c>
      <c r="O459" s="3" t="inlineStr">
        <is>
          <t>-</t>
        </is>
      </c>
      <c r="P459" s="3" t="inlineStr">
        <is>
          <t>남천안IC 6분, 남풍세IC 9분 소요</t>
        </is>
      </c>
      <c r="Q459" s="6">
        <f>HYPERLINK("https://fin.land.naver.com/articles/2654663049",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미더스</t>
        </is>
      </c>
      <c r="U459" s="4" t="n">
        <v>3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8161</v>
      </c>
      <c r="I460" s="4" t="n">
        <v>2469</v>
      </c>
      <c r="J460" s="5" t="n">
        <v>1</v>
      </c>
      <c r="K460" s="4" t="n">
        <v>3676</v>
      </c>
      <c r="L460" s="4" t="n">
        <v>1112</v>
      </c>
      <c r="M460" s="5" t="n">
        <v>2.2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 6기 높은 층고, 넓은 마당 대형 공장 임대</t>
        </is>
      </c>
      <c r="Q460" s="6">
        <f>HYPERLINK("https://fin.land.naver.com/articles/2654666090",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6618</v>
      </c>
      <c r="I461" s="4" t="n">
        <v>2002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HYPERLINK("https://fin.land.naver.com/articles/2656215512",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북세종</t>
        </is>
      </c>
      <c r="U461" s="4" t="n">
        <v>1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2399</v>
      </c>
      <c r="L462" s="4" t="n">
        <v>726</v>
      </c>
      <c r="M462" s="5" t="n">
        <v>2.2</v>
      </c>
      <c r="N462" s="3" t="inlineStr">
        <is>
          <t>1</t>
        </is>
      </c>
      <c r="O462" s="3" t="inlineStr">
        <is>
          <t>-</t>
        </is>
      </c>
      <c r="P462" s="3" t="inlineStr">
        <is>
          <t>대형공장 임대</t>
        </is>
      </c>
      <c r="Q462" s="6">
        <f>HYPERLINK("https://fin.land.naver.com/articles/2654158574",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4595</v>
      </c>
      <c r="L463" s="4" t="n">
        <v>1390</v>
      </c>
      <c r="M463" s="5" t="n">
        <v>1.2</v>
      </c>
      <c r="N463" s="3" t="inlineStr">
        <is>
          <t>2</t>
        </is>
      </c>
      <c r="O463" s="3" t="inlineStr">
        <is>
          <t>-</t>
        </is>
      </c>
      <c r="P463" s="3" t="inlineStr">
        <is>
          <t>전력700kw,층고10m,호이스트 설치된 컨디션 좋은 공장</t>
        </is>
      </c>
      <c r="Q463" s="6">
        <f>HYPERLINK("https://fin.land.naver.com/articles/2655965392",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3594</v>
      </c>
      <c r="I467" s="4" t="n">
        <v>1087</v>
      </c>
      <c r="J467" s="5" t="n">
        <v>128.8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세종시 소정면 대곡리 공장매매 층고7m 전기30kw 1번국도 5분 남천안</t>
        </is>
      </c>
      <c r="Q467" s="6">
        <f>HYPERLINK("https://fin.land.naver.com/articles/2656415805",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태양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4454</v>
      </c>
      <c r="I468" s="4" t="n">
        <v>1347</v>
      </c>
      <c r="J468" s="5" t="n">
        <v>103.9</v>
      </c>
      <c r="K468" s="4" t="n">
        <v>559</v>
      </c>
      <c r="L468" s="4" t="n">
        <v>169</v>
      </c>
      <c r="M468" s="5" t="n">
        <v>828.4</v>
      </c>
      <c r="N468" s="3" t="inlineStr">
        <is>
          <t>1</t>
        </is>
      </c>
      <c r="O468" s="3" t="inlineStr">
        <is>
          <t>-</t>
        </is>
      </c>
      <c r="P468" s="3" t="inlineStr">
        <is>
          <t>남풍세IC 7분 1번국도 2분 넓은야드 가설건축물 고가성비 공장 매매</t>
        </is>
      </c>
      <c r="Q468" s="6">
        <f>HYPERLINK("https://fin.land.naver.com/articles/2654036343",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불당대원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4454</v>
      </c>
      <c r="I469" s="4" t="n">
        <v>1347</v>
      </c>
      <c r="J469" s="5" t="n">
        <v>111.4</v>
      </c>
      <c r="K469" s="4" t="n">
        <v>559</v>
      </c>
      <c r="L469" s="4" t="n">
        <v>169</v>
      </c>
      <c r="M469" s="5" t="n">
        <v>887.6</v>
      </c>
      <c r="N469" s="3" t="inlineStr">
        <is>
          <t>1</t>
        </is>
      </c>
      <c r="O469" s="3" t="inlineStr">
        <is>
          <t>-</t>
        </is>
      </c>
      <c r="P469" s="3" t="inlineStr">
        <is>
          <t>세종특별자치시 공장 매매</t>
        </is>
      </c>
      <c r="Q469" s="6">
        <f>HYPERLINK("https://fin.land.naver.com/articles/2651855797",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성성합동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30000</v>
      </c>
      <c r="G479" s="4" t="n">
        <v>3000</v>
      </c>
      <c r="H479" s="4" t="n">
        <v>9768</v>
      </c>
      <c r="I479" s="4" t="n">
        <v>2955</v>
      </c>
      <c r="J479" s="5" t="n">
        <v>1</v>
      </c>
      <c r="K479" s="4" t="n">
        <v>4329</v>
      </c>
      <c r="L479" s="4" t="n">
        <v>1310</v>
      </c>
      <c r="M479" s="5" t="n">
        <v>2.3</v>
      </c>
      <c r="N479" s="3" t="inlineStr">
        <is>
          <t>2</t>
        </is>
      </c>
      <c r="O479" s="3" t="inlineStr">
        <is>
          <t>-</t>
        </is>
      </c>
      <c r="P479" s="3" t="inlineStr">
        <is>
          <t>천평 임대,층고5m 깔끔한 공장,현재 공실로 즉시입주 가능</t>
        </is>
      </c>
      <c r="Q479" s="6">
        <f>HYPERLINK("https://fin.land.naver.com/articles/2656547139",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1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1050000</v>
      </c>
      <c r="G480" s="4" t="n">
        <v>0</v>
      </c>
      <c r="H480" s="4" t="n">
        <v>9768</v>
      </c>
      <c r="I480" s="4" t="n">
        <v>2955</v>
      </c>
      <c r="J480" s="5" t="n">
        <v>355.3</v>
      </c>
      <c r="K480" s="4" t="n">
        <v>4329</v>
      </c>
      <c r="L480" s="4" t="n">
        <v>1310</v>
      </c>
      <c r="M480" s="5" t="n">
        <v>801.5</v>
      </c>
      <c r="N480" s="3" t="inlineStr">
        <is>
          <t>2</t>
        </is>
      </c>
      <c r="O480" s="3" t="inlineStr">
        <is>
          <t>-</t>
        </is>
      </c>
      <c r="P480" s="3" t="inlineStr">
        <is>
          <t>남청주IC 10분,세종시청 20분거리,빠른 입주 가능</t>
        </is>
      </c>
      <c r="Q480" s="6">
        <f>HYPERLINK("https://fin.land.naver.com/articles/2654606972",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행복도시 도심1분 최인접 명학산업단지 건너편 6차선도로 바로옆</t>
        </is>
      </c>
      <c r="Q489" s="6">
        <f>HYPERLINK("https://fin.land.naver.com/articles/2651087083",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세종스타</t>
        </is>
      </c>
      <c r="U489" s="4" t="n">
        <v>2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HYPERLINK("https://fin.land.naver.com/articles/2650955285",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세종땅전문</t>
        </is>
      </c>
      <c r="U490" s="4" t="n">
        <v>1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</v>
      </c>
      <c r="G493" s="4" t="n">
        <v>240</v>
      </c>
      <c r="H493" s="4" t="n">
        <v>7015</v>
      </c>
      <c r="I493" s="4" t="n">
        <v>2122</v>
      </c>
      <c r="J493" s="5" t="n">
        <v>0.1</v>
      </c>
      <c r="K493" s="4" t="n">
        <v>4117</v>
      </c>
      <c r="L493" s="4" t="n">
        <v>1245</v>
      </c>
      <c r="M493" s="5" t="n">
        <v>0.2</v>
      </c>
      <c r="N493" s="3" t="inlineStr">
        <is>
          <t>2</t>
        </is>
      </c>
      <c r="O493" s="3" t="inlineStr">
        <is>
          <t>-</t>
        </is>
      </c>
      <c r="P493" s="3" t="inlineStr">
        <is>
          <t>공장 및 창고 가능, 즉시 입주 가능, 대형차 진출입 가능</t>
        </is>
      </c>
      <c r="Q493" s="6">
        <f>HYPERLINK("https://fin.land.naver.com/articles/2653065571",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주식회사 대기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991</v>
      </c>
      <c r="L494" s="4" t="n">
        <v>300</v>
      </c>
      <c r="M494" s="5" t="n">
        <v>1.2</v>
      </c>
      <c r="N494" s="3" t="inlineStr">
        <is>
          <t>2</t>
        </is>
      </c>
      <c r="O494" s="3" t="inlineStr">
        <is>
          <t>B1</t>
        </is>
      </c>
      <c r="P494" s="3" t="inlineStr">
        <is>
          <t>공장 임대</t>
        </is>
      </c>
      <c r="Q494" s="6">
        <f>HYPERLINK("https://fin.land.naver.com/articles/2653033385",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월드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세종조치원일반산업단지 대형공장매매 최근리모델링완비로 컨디션좋음</t>
        </is>
      </c>
      <c r="Q501" s="6">
        <f>HYPERLINK("https://fin.land.naver.com/articles/2650956049",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B1</t>
        </is>
      </c>
      <c r="P502" s="3" t="inlineStr">
        <is>
          <t>nan</t>
        </is>
      </c>
      <c r="Q502" s="6">
        <f>HYPERLINK("https://fin.land.naver.com/articles/2652771129",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금화랜드</t>
        </is>
      </c>
      <c r="U502" s="4" t="n">
        <v>5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-</t>
        </is>
      </c>
      <c r="P503" s="3" t="inlineStr">
        <is>
          <t>7동구조로 된 대형공장 컨디션 최상 고전력 다양한 유틸리티</t>
        </is>
      </c>
      <c r="Q503" s="6">
        <f>HYPERLINK("https://fin.land.naver.com/articles/2652437120",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공장플러스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조치원 일반산업단지 대형공장매매, 최근 리모델링으로 시설 굿</t>
        </is>
      </c>
      <c r="Q505" s="6">
        <f>HYPERLINK("https://fin.land.naver.com/articles/2654940209",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명진</t>
        </is>
      </c>
      <c r="U505" s="4" t="n">
        <v>1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세종 조치원산업단지 대형 공장 매매</t>
        </is>
      </c>
      <c r="Q506" s="6">
        <f>HYPERLINK("https://fin.land.naver.com/articles/2651016586",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뉴대전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310000</v>
      </c>
      <c r="G507" s="4" t="n">
        <v>0</v>
      </c>
      <c r="H507" s="4" t="n">
        <v>1857</v>
      </c>
      <c r="I507" s="4" t="n">
        <v>562</v>
      </c>
      <c r="J507" s="5" t="n">
        <v>551.6</v>
      </c>
      <c r="K507" s="4" t="n">
        <v>1254</v>
      </c>
      <c r="L507" s="4" t="n">
        <v>379</v>
      </c>
      <c r="M507" s="5" t="n">
        <v>817.9</v>
      </c>
      <c r="N507" s="3" t="inlineStr">
        <is>
          <t>2</t>
        </is>
      </c>
      <c r="O507" s="3" t="inlineStr">
        <is>
          <t>-</t>
        </is>
      </c>
      <c r="P507" s="3" t="inlineStr">
        <is>
          <t>전망 좋고 투자가치 높은 월하천 전망의 귀한 공장 창고 판매매장</t>
        </is>
      </c>
      <c r="Q507" s="6">
        <f>HYPERLINK("https://fin.land.naver.com/articles/2652571798",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번영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1616</v>
      </c>
      <c r="I508" s="4" t="n">
        <v>489</v>
      </c>
      <c r="J508" s="5" t="n">
        <v>1</v>
      </c>
      <c r="K508" s="4" t="n">
        <v>1254</v>
      </c>
      <c r="L508" s="4" t="n">
        <v>379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공장  임대 입니다</t>
        </is>
      </c>
      <c r="Q508" s="6">
        <f>HYPERLINK("https://fin.land.naver.com/articles/2653377343",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마니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310000</v>
      </c>
      <c r="G510" s="4" t="n">
        <v>0</v>
      </c>
      <c r="H510" s="4" t="n">
        <v>1857</v>
      </c>
      <c r="I510" s="4" t="n">
        <v>562</v>
      </c>
      <c r="J510" s="5" t="n">
        <v>551.6</v>
      </c>
      <c r="K510" s="4" t="n">
        <v>1254</v>
      </c>
      <c r="L510" s="4" t="n">
        <v>379</v>
      </c>
      <c r="M510" s="5" t="n">
        <v>817.9</v>
      </c>
      <c r="N510" s="3" t="inlineStr">
        <is>
          <t>2</t>
        </is>
      </c>
      <c r="O510" s="3" t="inlineStr">
        <is>
          <t>-</t>
        </is>
      </c>
      <c r="P510" s="3" t="inlineStr">
        <is>
          <t>월하천 뷰의 전망이 좋고 투자가치 탁월한 공장,창고 매매</t>
        </is>
      </c>
      <c r="Q510" s="6">
        <f>HYPERLINK("https://fin.land.naver.com/articles/2650985014",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비타민무소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500</v>
      </c>
      <c r="H511" s="4" t="n">
        <v>1857</v>
      </c>
      <c r="I511" s="4" t="n">
        <v>562</v>
      </c>
      <c r="J511" s="5" t="n">
        <v>0.9</v>
      </c>
      <c r="K511" s="4" t="n">
        <v>1254</v>
      </c>
      <c r="L511" s="4" t="n">
        <v>379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전망 좋고 투자가치 높은 월하천 전망의 귀한 공장 창고 판매매장</t>
        </is>
      </c>
      <c r="Q511" s="6">
        <f>HYPERLINK("https://fin.land.naver.com/articles/2651831711",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번영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910</v>
      </c>
      <c r="I512" s="4" t="n">
        <v>275</v>
      </c>
      <c r="J512" s="5" t="n">
        <v>1.6</v>
      </c>
      <c r="K512" s="4" t="n">
        <v>984</v>
      </c>
      <c r="L512" s="4" t="n">
        <v>298</v>
      </c>
      <c r="M512" s="5" t="n">
        <v>1.5</v>
      </c>
      <c r="N512" s="3" t="inlineStr">
        <is>
          <t>2</t>
        </is>
      </c>
      <c r="O512" s="3" t="inlineStr">
        <is>
          <t>-</t>
        </is>
      </c>
      <c r="P512" s="3" t="inlineStr">
        <is>
          <t>조치원과 고복저수지와 연서면 국가산업단지를 연결하는 성제사거리에 입지</t>
        </is>
      </c>
      <c r="Q512" s="6">
        <f>HYPERLINK("https://fin.land.naver.com/articles/2655219218",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세종베스트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호이스트, 사무동, 기숙사 있는 대형공장 아주 아주 저렴한 임대</t>
        </is>
      </c>
      <c r="Q519" s="6">
        <f>HYPERLINK("https://fin.land.naver.com/articles/2651531957",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더오름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사진有 공장 임대</t>
        </is>
      </c>
      <c r="Q520" s="6">
        <f>HYPERLINK("https://fin.land.naver.com/articles/2653032582",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18000</v>
      </c>
      <c r="G545" s="4" t="n">
        <v>1000</v>
      </c>
      <c r="H545" s="4" t="n">
        <v>2169</v>
      </c>
      <c r="I545" s="4" t="n">
        <v>656</v>
      </c>
      <c r="J545" s="5" t="n">
        <v>1.5</v>
      </c>
      <c r="K545" s="4" t="n">
        <v>999</v>
      </c>
      <c r="L545" s="4" t="n">
        <v>302</v>
      </c>
      <c r="M545" s="5" t="n">
        <v>3.3</v>
      </c>
      <c r="N545" s="3" t="inlineStr">
        <is>
          <t>2</t>
        </is>
      </c>
      <c r="O545" s="3" t="inlineStr">
        <is>
          <t>-</t>
        </is>
      </c>
      <c r="P545" s="3" t="inlineStr">
        <is>
          <t>산업단지 코너에 위치한 관리 잘 된 준신축급 공장</t>
        </is>
      </c>
      <c r="Q545" s="6">
        <f>HYPERLINK("https://fin.land.naver.com/articles/2655941111",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999</v>
      </c>
      <c r="L547" s="4" t="n">
        <v>302</v>
      </c>
      <c r="M547" s="5" t="n">
        <v>1158.9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HYPERLINK("https://fin.land.naver.com/articles/2654295052",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592</v>
      </c>
      <c r="L548" s="4" t="n">
        <v>179</v>
      </c>
      <c r="M548" s="5" t="n">
        <v>5.6</v>
      </c>
      <c r="N548" s="3" t="inlineStr">
        <is>
          <t>1</t>
        </is>
      </c>
      <c r="O548" s="3" t="inlineStr">
        <is>
          <t>-</t>
        </is>
      </c>
      <c r="P548" s="3" t="inlineStr">
        <is>
          <t>시설이 완벽하게 갖춰져 있는 건물,공장 월세 임대 가능한 매물입니다</t>
        </is>
      </c>
      <c r="Q548" s="6">
        <f>HYPERLINK("https://fin.land.naver.com/articles/2651110067",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오송2단지창조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B1</t>
        </is>
      </c>
      <c r="P549" s="3" t="inlineStr">
        <is>
          <t>오송 2산업단지 대로면 접한 공장으로 의료기기 관련업종 즉시 입주 가능</t>
        </is>
      </c>
      <c r="Q549" s="6">
        <f>HYPERLINK("https://fin.land.naver.com/articles/2656612121",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우리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18000</v>
      </c>
      <c r="G550" s="4" t="n">
        <v>1000</v>
      </c>
      <c r="H550" s="4" t="n">
        <v>2169</v>
      </c>
      <c r="I550" s="4" t="n">
        <v>656</v>
      </c>
      <c r="J550" s="5" t="n">
        <v>1.5</v>
      </c>
      <c r="K550" s="4" t="n">
        <v>999</v>
      </c>
      <c r="L550" s="4" t="n">
        <v>302</v>
      </c>
      <c r="M550" s="5" t="n">
        <v>3.3</v>
      </c>
      <c r="N550" s="3" t="inlineStr">
        <is>
          <t>2</t>
        </is>
      </c>
      <c r="O550" s="3" t="inlineStr">
        <is>
          <t>-</t>
        </is>
      </c>
      <c r="P550" s="3" t="inlineStr">
        <is>
          <t>오송바이오폴리스 산업단지 사옥형 공장 임대 입주협의</t>
        </is>
      </c>
      <c r="Q550" s="6">
        <f>HYPERLINK("https://fin.land.naver.com/articles/2650873410",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오송2산단 의료기기업종가능 사옥형 공장으로 추천</t>
        </is>
      </c>
      <c r="Q551" s="6">
        <f>HYPERLINK("https://fin.land.naver.com/articles/2655682737",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100000</v>
      </c>
      <c r="G554" s="4" t="n">
        <v>10000</v>
      </c>
      <c r="H554" s="4" t="n">
        <v>10798</v>
      </c>
      <c r="I554" s="4" t="n">
        <v>3266</v>
      </c>
      <c r="J554" s="5" t="n">
        <v>3.1</v>
      </c>
      <c r="K554" s="4" t="n">
        <v>15064</v>
      </c>
      <c r="L554" s="4" t="n">
        <v>4557</v>
      </c>
      <c r="M554" s="5" t="n">
        <v>2.2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HYPERLINK("https://fin.land.naver.com/articles/2654798106",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35000</v>
      </c>
      <c r="G558" s="4" t="n">
        <v>3500</v>
      </c>
      <c r="H558" s="4" t="n">
        <v>10798</v>
      </c>
      <c r="I558" s="4" t="n">
        <v>3266</v>
      </c>
      <c r="J558" s="5" t="n">
        <v>1.1</v>
      </c>
      <c r="K558" s="4" t="n">
        <v>3616</v>
      </c>
      <c r="L558" s="4" t="n">
        <v>1094</v>
      </c>
      <c r="M558" s="5" t="n">
        <v>3.2</v>
      </c>
      <c r="N558" s="3" t="inlineStr">
        <is>
          <t>5</t>
        </is>
      </c>
      <c r="O558" s="3" t="inlineStr">
        <is>
          <t>-</t>
        </is>
      </c>
      <c r="P558" s="3" t="inlineStr">
        <is>
          <t>3층,4층 공장, 창고 임대.전층공조시설완비,바닥 콘크리트마감, 신축</t>
        </is>
      </c>
      <c r="Q558" s="6">
        <f>HYPERLINK("https://fin.land.naver.com/articles/2653996482",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100000</v>
      </c>
      <c r="G559" s="4" t="n">
        <v>10000</v>
      </c>
      <c r="H559" s="4" t="n">
        <v>10798</v>
      </c>
      <c r="I559" s="4" t="n">
        <v>3266</v>
      </c>
      <c r="J559" s="5" t="n">
        <v>3.1</v>
      </c>
      <c r="K559" s="4" t="n">
        <v>1476</v>
      </c>
      <c r="L559" s="4" t="n">
        <v>446</v>
      </c>
      <c r="M559" s="5" t="n">
        <v>22.4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크리트마감, 신축공장,건기식,제약,화장품 추천</t>
        </is>
      </c>
      <c r="Q559" s="6">
        <f>HYPERLINK("https://fin.land.naver.com/articles/2655898062",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3000</v>
      </c>
      <c r="H560" s="4" t="n">
        <v>10798</v>
      </c>
      <c r="I560" s="4" t="n">
        <v>3266</v>
      </c>
      <c r="J560" s="5" t="n">
        <v>0.9</v>
      </c>
      <c r="K560" s="4" t="n">
        <v>2314</v>
      </c>
      <c r="L560" s="4" t="n">
        <v>700</v>
      </c>
      <c r="M560" s="5" t="n">
        <v>4.3</v>
      </c>
      <c r="N560" s="3" t="inlineStr">
        <is>
          <t>5</t>
        </is>
      </c>
      <c r="O560" s="3" t="inlineStr">
        <is>
          <t>-</t>
        </is>
      </c>
      <c r="P560" s="3" t="inlineStr">
        <is>
          <t>항온항습시설, GMP인증 시설. 신축, 1층 2층 부문임대가능</t>
        </is>
      </c>
      <c r="Q560" s="6">
        <f>HYPERLINK("https://fin.land.naver.com/articles/2653575770",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(주)미르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-</t>
        </is>
      </c>
      <c r="P562" s="3" t="inlineStr">
        <is>
          <t>전기,화학,의약품,의료,화장품코드 입주 가능,신축형 컨디션</t>
        </is>
      </c>
      <c r="Q562" s="6">
        <f>HYPERLINK("https://fin.land.naver.com/articles/2656298188",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3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월세</t>
        </is>
      </c>
      <c r="F564" s="4" t="n">
        <v>30000</v>
      </c>
      <c r="G564" s="4" t="n">
        <v>2800</v>
      </c>
      <c r="H564" s="4" t="n">
        <v>4999</v>
      </c>
      <c r="I564" s="4" t="n">
        <v>1512</v>
      </c>
      <c r="J564" s="5" t="n">
        <v>1.9</v>
      </c>
      <c r="K564" s="4" t="n">
        <v>9796</v>
      </c>
      <c r="L564" s="4" t="n">
        <v>2963</v>
      </c>
      <c r="M564" s="5" t="n">
        <v>0.9</v>
      </c>
      <c r="N564" s="3" t="inlineStr">
        <is>
          <t>3</t>
        </is>
      </c>
      <c r="O564" s="3" t="inlineStr">
        <is>
          <t>-</t>
        </is>
      </c>
      <c r="P564" s="3" t="inlineStr">
        <is>
          <t>신축급,전기,화학,화장품,의약품 등 입주가능,각층별 과 전체 임대가능</t>
        </is>
      </c>
      <c r="Q564" s="6">
        <f>HYPERLINK("https://fin.land.naver.com/articles/2656299610",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1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1150000</v>
      </c>
      <c r="G566" s="4" t="n">
        <v>0</v>
      </c>
      <c r="H566" s="4" t="n">
        <v>4999</v>
      </c>
      <c r="I566" s="4" t="n">
        <v>1512</v>
      </c>
      <c r="J566" s="5" t="n">
        <v>760.6</v>
      </c>
      <c r="K566" s="4" t="n">
        <v>9796</v>
      </c>
      <c r="L566" s="4" t="n">
        <v>2963</v>
      </c>
      <c r="M566" s="5" t="n">
        <v>388.1</v>
      </c>
      <c r="N566" s="3" t="inlineStr">
        <is>
          <t>3</t>
        </is>
      </c>
      <c r="O566" s="3" t="inlineStr">
        <is>
          <t>B1</t>
        </is>
      </c>
      <c r="P566" s="3" t="inlineStr">
        <is>
          <t>사진有 공장 매매</t>
        </is>
      </c>
      <c r="Q566" s="6">
        <f>HYPERLINK("https://fin.land.naver.com/articles/2654917110",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월드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유구읍 녹천리 145-4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61000</v>
      </c>
      <c r="G567" s="4" t="n">
        <v>0</v>
      </c>
      <c r="H567" s="4" t="n">
        <v>1653</v>
      </c>
      <c r="I567" s="4" t="n">
        <v>500</v>
      </c>
      <c r="J567" s="5" t="n">
        <v>122</v>
      </c>
      <c r="K567" s="4" t="n">
        <v>445</v>
      </c>
      <c r="L567" s="4" t="n">
        <v>135</v>
      </c>
      <c r="M567" s="5" t="n">
        <v>451.9</v>
      </c>
      <c r="N567" s="3" t="inlineStr">
        <is>
          <t>1</t>
        </is>
      </c>
      <c r="O567" s="3" t="inlineStr">
        <is>
          <t>-</t>
        </is>
      </c>
      <c r="P567" s="3" t="inlineStr">
        <is>
          <t>2차선 도로변, 유구IC10분거리 공장건물 및 주택</t>
        </is>
      </c>
      <c r="Q567" s="6">
        <f>HYPERLINK("https://fin.land.naver.com/articles/2656381750", "매물Link")</f>
        <v/>
      </c>
      <c r="R567" s="6">
        <f>HYPERLINK("https://map.naver.com/p/search/유구읍 녹천리 145-4", "지도Link")</f>
        <v/>
      </c>
      <c r="S567" s="6">
        <f>HYPERLINK("http://www.eum.go.kr/web/ar/lu/luLandDet.jsp?pnu=4415025025101450004&amp;isNoScr=script&amp;mode=search", "토지이음")</f>
        <v/>
      </c>
      <c r="T567" s="3" t="inlineStr">
        <is>
          <t>그린</t>
        </is>
      </c>
      <c r="U567" s="4" t="n">
        <v>1</v>
      </c>
      <c r="V567" s="5" t="n">
        <v>24.2</v>
      </c>
      <c r="W567" s="4" t="n">
        <v>1653</v>
      </c>
      <c r="X567" s="3" t="inlineStr">
        <is>
          <t>미표기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6.4m</t>
        </is>
      </c>
      <c r="AC567" s="3" t="inlineStr">
        <is>
          <t>2002-08</t>
        </is>
      </c>
      <c r="AD567" s="3" t="inlineStr">
        <is>
          <t>소로한면</t>
        </is>
      </c>
    </row>
    <row r="568">
      <c r="A568" s="3" t="inlineStr">
        <is>
          <t>유구읍 녹천리 292-3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200000</v>
      </c>
      <c r="G568" s="4" t="n">
        <v>0</v>
      </c>
      <c r="H568" s="4" t="n">
        <v>6383</v>
      </c>
      <c r="I568" s="4" t="n">
        <v>1931</v>
      </c>
      <c r="J568" s="5" t="n">
        <v>103.6</v>
      </c>
      <c r="K568" s="4" t="n">
        <v>2643</v>
      </c>
      <c r="L568" s="4" t="n">
        <v>800</v>
      </c>
      <c r="M568" s="5" t="n">
        <v>250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HYPERLINK("https://fin.land.naver.com/articles/2651709513", "매물Link")</f>
        <v/>
      </c>
      <c r="R568" s="6">
        <f>HYPERLINK("https://map.naver.com/p/search/유구읍 녹천리 292-3", "지도Link")</f>
        <v/>
      </c>
      <c r="S568" s="6">
        <f>HYPERLINK("http://www.eum.go.kr/web/ar/lu/luLandDet.jsp?pnu=4415025025102920003&amp;isNoScr=script&amp;mode=search", "토지이음")</f>
        <v/>
      </c>
      <c r="T568" s="3" t="inlineStr">
        <is>
          <t>대길</t>
        </is>
      </c>
      <c r="U568" s="4" t="n">
        <v>1</v>
      </c>
      <c r="V568" s="5" t="n">
        <v>20</v>
      </c>
      <c r="W568" s="4" t="n">
        <v>4365</v>
      </c>
      <c r="X568" s="3" t="inlineStr">
        <is>
          <t>대장없음</t>
        </is>
      </c>
      <c r="Y568" s="7" t="inlineStr">
        <is>
          <t>대장없음</t>
        </is>
      </c>
      <c r="Z568" s="3" t="inlineStr">
        <is>
          <t>대장없음</t>
        </is>
      </c>
      <c r="AA568" s="3" t="inlineStr">
        <is>
          <t>대장없음</t>
        </is>
      </c>
      <c r="AB568" s="3" t="inlineStr">
        <is>
          <t>대장없음</t>
        </is>
      </c>
      <c r="AC568" s="3" t="inlineStr">
        <is>
          <t>대장없음</t>
        </is>
      </c>
      <c r="AD568" s="3" t="inlineStr">
        <is>
          <t>소로한면</t>
        </is>
      </c>
    </row>
    <row r="569">
      <c r="A569" s="3" t="inlineStr">
        <is>
          <t>유구읍 석남리 255-2</t>
        </is>
      </c>
      <c r="B569" s="3" t="inlineStr">
        <is>
          <t>준주거지역</t>
        </is>
      </c>
      <c r="C569" s="3" t="inlineStr">
        <is>
          <t>대</t>
        </is>
      </c>
      <c r="D569" s="3" t="inlineStr">
        <is>
          <t>공장</t>
        </is>
      </c>
      <c r="E569" s="3" t="inlineStr">
        <is>
          <t>매매</t>
        </is>
      </c>
      <c r="F569" s="4" t="n">
        <v>25000</v>
      </c>
      <c r="G569" s="4" t="n">
        <v>0</v>
      </c>
      <c r="H569" s="4" t="n">
        <v>975</v>
      </c>
      <c r="I569" s="4" t="n">
        <v>295</v>
      </c>
      <c r="J569" s="5" t="n">
        <v>84.7</v>
      </c>
      <c r="K569" s="4" t="n">
        <v>390</v>
      </c>
      <c r="L569" s="4" t="n">
        <v>118</v>
      </c>
      <c r="M569" s="5" t="n">
        <v>211.9</v>
      </c>
      <c r="N569" s="3" t="inlineStr">
        <is>
          <t>1</t>
        </is>
      </c>
      <c r="O569" s="3" t="inlineStr">
        <is>
          <t>-</t>
        </is>
      </c>
      <c r="P569" s="3" t="inlineStr">
        <is>
          <t>유구읍 시내 중심도로변에 접한 위치좋은 물건으로 다용도로 활용가능함</t>
        </is>
      </c>
      <c r="Q569" s="6">
        <f>HYPERLINK("https://fin.land.naver.com/articles/2653031843", "매물Link")</f>
        <v/>
      </c>
      <c r="R569" s="6">
        <f>HYPERLINK("https://map.naver.com/p/search/유구읍 석남리 255-2", "지도Link")</f>
        <v/>
      </c>
      <c r="S569" s="6">
        <f>HYPERLINK("http://www.eum.go.kr/web/ar/lu/luLandDet.jsp?pnu=4415025023102550002&amp;isNoScr=script&amp;mode=search",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49.5</v>
      </c>
      <c r="W569" s="4" t="n">
        <v>440</v>
      </c>
      <c r="X569" s="3" t="inlineStr">
        <is>
          <t>미표기</t>
        </is>
      </c>
      <c r="Y569" s="7" t="inlineStr">
        <is>
          <t>1층</t>
        </is>
      </c>
      <c r="Z569" s="3" t="inlineStr">
        <is>
          <t>벽돌구조</t>
        </is>
      </c>
      <c r="AA569" s="3" t="inlineStr">
        <is>
          <t>공장</t>
        </is>
      </c>
      <c r="AB569" s="3" t="inlineStr">
        <is>
          <t>-</t>
        </is>
      </c>
      <c r="AC569" s="3" t="inlineStr">
        <is>
          <t>1966</t>
        </is>
      </c>
      <c r="AD569" s="3" t="inlineStr">
        <is>
          <t>세로한면(불)</t>
        </is>
      </c>
    </row>
    <row r="570">
      <c r="A570" s="3" t="inlineStr">
        <is>
          <t>장군면 금암리 99-1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120</v>
      </c>
      <c r="H570" s="4" t="n">
        <v>988</v>
      </c>
      <c r="I570" s="4" t="n">
        <v>299</v>
      </c>
      <c r="J570" s="5" t="n">
        <v>0.4</v>
      </c>
      <c r="K570" s="4" t="n">
        <v>196</v>
      </c>
      <c r="L570" s="4" t="n">
        <v>59</v>
      </c>
      <c r="M570" s="5" t="n">
        <v>2</v>
      </c>
      <c r="N570" s="3" t="inlineStr">
        <is>
          <t>1</t>
        </is>
      </c>
      <c r="O570" s="3" t="inlineStr">
        <is>
          <t>-</t>
        </is>
      </c>
      <c r="P570" s="3" t="inlineStr">
        <is>
          <t>제2종근린생활시설 제조업소  2차선 도로와 연접되어 진.출입 원할합니다</t>
        </is>
      </c>
      <c r="Q570" s="6">
        <f>HYPERLINK("https://fin.land.naver.com/articles/2655277046", "매물Link")</f>
        <v/>
      </c>
      <c r="R570" s="6">
        <f>HYPERLINK("https://map.naver.com/p/search/장군면 금암리 99-1", "지도Link")</f>
        <v/>
      </c>
      <c r="S570" s="6">
        <f>HYPERLINK("http://www.eum.go.kr/web/ar/lu/luLandDet.jsp?pnu=3611035025100990001&amp;isNoScr=script&amp;mode=search",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121.1</v>
      </c>
      <c r="W570" s="4" t="n">
        <v>988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8.0m</t>
        </is>
      </c>
      <c r="AC570" s="3" t="inlineStr">
        <is>
          <t>2016-08</t>
        </is>
      </c>
      <c r="AD570" s="3" t="inlineStr">
        <is>
          <t>세로한면(가)</t>
        </is>
      </c>
    </row>
    <row r="571">
      <c r="A571" s="3" t="inlineStr">
        <is>
          <t>장군면 대교리 421-10</t>
        </is>
      </c>
      <c r="B571" s="3" t="inlineStr">
        <is>
          <t>농림지역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500</v>
      </c>
      <c r="G571" s="4" t="n">
        <v>70</v>
      </c>
      <c r="H571" s="4" t="n">
        <v>990</v>
      </c>
      <c r="I571" s="4" t="n">
        <v>299</v>
      </c>
      <c r="J571" s="5" t="n">
        <v>0.2</v>
      </c>
      <c r="K571" s="4" t="n">
        <v>130</v>
      </c>
      <c r="L571" s="4" t="n">
        <v>39</v>
      </c>
      <c r="M571" s="5" t="n">
        <v>1.8</v>
      </c>
      <c r="N571" s="3" t="inlineStr">
        <is>
          <t>1</t>
        </is>
      </c>
      <c r="O571" s="3" t="inlineStr">
        <is>
          <t>B1</t>
        </is>
      </c>
      <c r="P571" s="3" t="inlineStr">
        <is>
          <t>농업용 창고임</t>
        </is>
      </c>
      <c r="Q571" s="6">
        <f>HYPERLINK("https://fin.land.naver.com/articles/2652602141", "매물Link")</f>
        <v/>
      </c>
      <c r="R571" s="6">
        <f>HYPERLINK("https://map.naver.com/p/search/장군면 대교리 421-10", "지도Link")</f>
        <v/>
      </c>
      <c r="S571" s="6">
        <f>HYPERLINK("http://www.eum.go.kr/web/ar/lu/luLandDet.jsp?pnu=3611035023104210010&amp;isNoScr=script&amp;mode=search", "토지이음")</f>
        <v/>
      </c>
      <c r="T571" s="3" t="inlineStr">
        <is>
          <t>세종공주제일</t>
        </is>
      </c>
      <c r="U571" s="4" t="n">
        <v>1</v>
      </c>
      <c r="V571" s="5" t="n">
        <v>46.7</v>
      </c>
      <c r="W571" s="4" t="n">
        <v>990</v>
      </c>
      <c r="X571" s="3" t="inlineStr">
        <is>
          <t>주건축물제1동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6.4m</t>
        </is>
      </c>
      <c r="AC571" s="3" t="inlineStr">
        <is>
          <t>2020-12</t>
        </is>
      </c>
      <c r="AD571" s="3" t="inlineStr">
        <is>
          <t>세로한면(가)</t>
        </is>
      </c>
    </row>
    <row r="572">
      <c r="A572" s="3" t="inlineStr">
        <is>
          <t>장군면 대교리 79-169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60</v>
      </c>
      <c r="H572" s="4" t="n">
        <v>773</v>
      </c>
      <c r="I572" s="4" t="n">
        <v>234</v>
      </c>
      <c r="J572" s="5" t="n">
        <v>0.3</v>
      </c>
      <c r="K572" s="4" t="n">
        <v>99</v>
      </c>
      <c r="L572" s="4" t="n">
        <v>30</v>
      </c>
      <c r="M572" s="5" t="n">
        <v>2</v>
      </c>
      <c r="N572" s="3" t="inlineStr">
        <is>
          <t>1</t>
        </is>
      </c>
      <c r="O572" s="3" t="inlineStr">
        <is>
          <t>-</t>
        </is>
      </c>
      <c r="P572" s="3" t="inlineStr">
        <is>
          <t>전원주택 단지 신축 근린생활시설 힐링하며 사용하세요</t>
        </is>
      </c>
      <c r="Q572" s="6">
        <f>HYPERLINK("https://fin.land.naver.com/articles/2650893899", "매물Link")</f>
        <v/>
      </c>
      <c r="R572" s="6">
        <f>HYPERLINK("https://map.naver.com/p/search/장군면 대교리 79-169", "지도Link")</f>
        <v/>
      </c>
      <c r="S572" s="6">
        <f>HYPERLINK("http://www.eum.go.kr/web/ar/lu/luLandDet.jsp?pnu=3611035023100790169&amp;isNoScr=script&amp;mode=search",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115.1</v>
      </c>
      <c r="W572" s="4" t="n">
        <v>740</v>
      </c>
      <c r="X572" s="3" t="inlineStr">
        <is>
          <t>주건축물제1동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4.63m</t>
        </is>
      </c>
      <c r="AC572" s="3" t="inlineStr">
        <is>
          <t>2026-06</t>
        </is>
      </c>
      <c r="AD572" s="3" t="inlineStr">
        <is>
          <t>소로한면</t>
        </is>
      </c>
    </row>
    <row r="573">
      <c r="A573" s="3" t="inlineStr">
        <is>
          <t>장군면 봉안리 131-2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공장</t>
        </is>
      </c>
      <c r="E573" s="3" t="inlineStr">
        <is>
          <t>매매</t>
        </is>
      </c>
      <c r="F573" s="4" t="n">
        <v>225000</v>
      </c>
      <c r="G573" s="4" t="n">
        <v>0</v>
      </c>
      <c r="H573" s="4" t="n">
        <v>3022</v>
      </c>
      <c r="I573" s="4" t="n">
        <v>914</v>
      </c>
      <c r="J573" s="5" t="n">
        <v>246.2</v>
      </c>
      <c r="K573" s="4" t="n">
        <v>554</v>
      </c>
      <c r="L573" s="4" t="n">
        <v>168</v>
      </c>
      <c r="M573" s="5" t="n">
        <v>1339.3</v>
      </c>
      <c r="N573" s="3" t="inlineStr">
        <is>
          <t>1</t>
        </is>
      </c>
      <c r="O573" s="3" t="inlineStr">
        <is>
          <t>B1</t>
        </is>
      </c>
      <c r="P573" s="3" t="inlineStr">
        <is>
          <t>민원 없는 위치 철구조물 제작 또는 물류 보관 창고 대형차량 입.출 원활</t>
        </is>
      </c>
      <c r="Q573" s="6">
        <f>HYPERLINK("https://fin.land.naver.com/articles/2651414020", "매물Link")</f>
        <v/>
      </c>
      <c r="R573" s="6">
        <f>HYPERLINK("https://map.naver.com/p/search/장군면 봉안리 131-2", "지도Link")</f>
        <v/>
      </c>
      <c r="S573" s="6">
        <f>HYPERLINK("http://www.eum.go.kr/web/ar/lu/luLandDet.jsp?pnu=3611035024101310002&amp;isNoScr=script&amp;mode=search",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116.3</v>
      </c>
      <c r="W573" s="4" t="n">
        <v>991</v>
      </c>
      <c r="X573" s="3" t="inlineStr">
        <is>
          <t>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7.6m</t>
        </is>
      </c>
      <c r="AC573" s="3" t="inlineStr">
        <is>
          <t>2013-04</t>
        </is>
      </c>
      <c r="AD573" s="3" t="inlineStr">
        <is>
          <t>세로한면(가)</t>
        </is>
      </c>
    </row>
    <row r="574">
      <c r="A574" s="3" t="inlineStr">
        <is>
          <t>장군면 봉안리 131-2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매매</t>
        </is>
      </c>
      <c r="F574" s="4" t="n">
        <v>225000</v>
      </c>
      <c r="G574" s="4" t="n">
        <v>0</v>
      </c>
      <c r="H574" s="4" t="n">
        <v>3022</v>
      </c>
      <c r="I574" s="4" t="n">
        <v>914</v>
      </c>
      <c r="J574" s="5" t="n">
        <v>246.2</v>
      </c>
      <c r="K574" s="4" t="n">
        <v>554</v>
      </c>
      <c r="L574" s="4" t="n">
        <v>168</v>
      </c>
      <c r="M574" s="5" t="n">
        <v>1339.3</v>
      </c>
      <c r="N574" s="3" t="inlineStr">
        <is>
          <t>2</t>
        </is>
      </c>
      <c r="O574" s="3" t="inlineStr">
        <is>
          <t>-</t>
        </is>
      </c>
      <c r="P574" s="3" t="inlineStr">
        <is>
          <t>고속도로인근 귀한 창고 매매</t>
        </is>
      </c>
      <c r="Q574" s="6">
        <f>HYPERLINK("https://fin.land.naver.com/articles/2652017964", "매물Link")</f>
        <v/>
      </c>
      <c r="R574" s="6">
        <f>HYPERLINK("https://map.naver.com/p/search/장군면 봉안리 131-2", "지도Link")</f>
        <v/>
      </c>
      <c r="S574" s="6">
        <f>HYPERLINK("http://www.eum.go.kr/web/ar/lu/luLandDet.jsp?pnu=3611035024101310002&amp;isNoScr=script&amp;mode=search", "토지이음")</f>
        <v/>
      </c>
      <c r="T574" s="3" t="inlineStr">
        <is>
          <t>드림사무소</t>
        </is>
      </c>
      <c r="U574" s="4" t="n">
        <v>1</v>
      </c>
      <c r="V574" s="5" t="n">
        <v>116.3</v>
      </c>
      <c r="W574" s="4" t="n">
        <v>991</v>
      </c>
      <c r="X574" s="3" t="inlineStr">
        <is>
          <t>제1동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제1종근생</t>
        </is>
      </c>
      <c r="AB574" s="3" t="inlineStr">
        <is>
          <t>7.6m</t>
        </is>
      </c>
      <c r="AC574" s="3" t="inlineStr">
        <is>
          <t>2013-04</t>
        </is>
      </c>
      <c r="AD574" s="3" t="inlineStr">
        <is>
          <t>세로한면(가)</t>
        </is>
      </c>
    </row>
    <row r="575">
      <c r="A575" s="3" t="inlineStr">
        <is>
          <t>장군면 송문리 249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165000</v>
      </c>
      <c r="G575" s="4" t="n">
        <v>0</v>
      </c>
      <c r="H575" s="4" t="n">
        <v>2456</v>
      </c>
      <c r="I575" s="4" t="n">
        <v>743</v>
      </c>
      <c r="J575" s="5" t="n">
        <v>222.1</v>
      </c>
      <c r="K575" s="4" t="n">
        <v>648</v>
      </c>
      <c r="L575" s="4" t="n">
        <v>196</v>
      </c>
      <c r="M575" s="5" t="n">
        <v>841.8</v>
      </c>
      <c r="N575" s="3" t="inlineStr">
        <is>
          <t>2</t>
        </is>
      </c>
      <c r="O575" s="3" t="inlineStr">
        <is>
          <t>B1</t>
        </is>
      </c>
      <c r="P575" s="3" t="inlineStr">
        <is>
          <t>2개동, 공장 건물 매매, 조율가능</t>
        </is>
      </c>
      <c r="Q575" s="6">
        <f>HYPERLINK("https://fin.land.naver.com/articles/2654892775", "매물Link")</f>
        <v/>
      </c>
      <c r="R575" s="6">
        <f>HYPERLINK("https://map.naver.com/p/search/장군면 송문리 249", "지도Link")</f>
        <v/>
      </c>
      <c r="S575" s="6">
        <f>HYPERLINK("http://www.eum.go.kr/web/ar/lu/luLandDet.jsp?pnu=3611035029102490000&amp;isNoScr=script&amp;mode=search", "토지이음")</f>
        <v/>
      </c>
      <c r="T575" s="3" t="inlineStr">
        <is>
          <t>명진</t>
        </is>
      </c>
      <c r="U575" s="4" t="n">
        <v>1</v>
      </c>
      <c r="V575" s="5" t="n">
        <v>101.6</v>
      </c>
      <c r="W575" s="4" t="n">
        <v>2456</v>
      </c>
      <c r="X575" s="3" t="inlineStr">
        <is>
          <t>1동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7.94m</t>
        </is>
      </c>
      <c r="AC575" s="3" t="inlineStr">
        <is>
          <t>2014-12</t>
        </is>
      </c>
      <c r="AD575" s="3" t="inlineStr">
        <is>
          <t>세로한면(가)</t>
        </is>
      </c>
    </row>
    <row r="576">
      <c r="A576" s="3" t="inlineStr">
        <is>
          <t>장군면 송문리 249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165000</v>
      </c>
      <c r="G576" s="4" t="n">
        <v>0</v>
      </c>
      <c r="H576" s="4" t="n">
        <v>2456</v>
      </c>
      <c r="I576" s="4" t="n">
        <v>743</v>
      </c>
      <c r="J576" s="5" t="n">
        <v>222.1</v>
      </c>
      <c r="K576" s="4" t="n">
        <v>648</v>
      </c>
      <c r="L576" s="4" t="n">
        <v>196</v>
      </c>
      <c r="M576" s="5" t="n">
        <v>841.8</v>
      </c>
      <c r="N576" s="3" t="inlineStr">
        <is>
          <t>1</t>
        </is>
      </c>
      <c r="O576" s="3" t="inlineStr">
        <is>
          <t>-</t>
        </is>
      </c>
      <c r="P576" s="3" t="inlineStr">
        <is>
          <t>nan</t>
        </is>
      </c>
      <c r="Q576" s="6">
        <f>HYPERLINK("https://fin.land.naver.com/articles/2654025302", "매물Link")</f>
        <v/>
      </c>
      <c r="R576" s="6">
        <f>HYPERLINK("https://map.naver.com/p/search/장군면 송문리 249", "지도Link")</f>
        <v/>
      </c>
      <c r="S576" s="6">
        <f>HYPERLINK("http://www.eum.go.kr/web/ar/lu/luLandDet.jsp?pnu=3611035029102490000&amp;isNoScr=script&amp;mode=search", "토지이음")</f>
        <v/>
      </c>
      <c r="T576" s="3" t="inlineStr">
        <is>
          <t>세종지평</t>
        </is>
      </c>
      <c r="U576" s="4" t="n">
        <v>2</v>
      </c>
      <c r="V576" s="5" t="n">
        <v>101.6</v>
      </c>
      <c r="W576" s="4" t="n">
        <v>2456</v>
      </c>
      <c r="X576" s="3" t="inlineStr">
        <is>
          <t>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7.94m</t>
        </is>
      </c>
      <c r="AC576" s="3" t="inlineStr">
        <is>
          <t>2014-12</t>
        </is>
      </c>
      <c r="AD576" s="3" t="inlineStr">
        <is>
          <t>세로한면(가)</t>
        </is>
      </c>
    </row>
    <row r="577">
      <c r="A577" s="3" t="inlineStr">
        <is>
          <t>장군면 송학리 126-8</t>
        </is>
      </c>
      <c r="B577" s="3" t="inlineStr">
        <is>
          <t>계획관리지역</t>
        </is>
      </c>
      <c r="C577" s="3" t="inlineStr">
        <is>
          <t>창고용지</t>
        </is>
      </c>
      <c r="D577" s="3" t="inlineStr">
        <is>
          <t>창고</t>
        </is>
      </c>
      <c r="E577" s="3" t="inlineStr">
        <is>
          <t>월세</t>
        </is>
      </c>
      <c r="F577" s="4" t="n">
        <v>3000</v>
      </c>
      <c r="G577" s="4" t="n">
        <v>250</v>
      </c>
      <c r="H577" s="4" t="n">
        <v>1990</v>
      </c>
      <c r="I577" s="4" t="n">
        <v>602</v>
      </c>
      <c r="J577" s="5" t="n">
        <v>0.4</v>
      </c>
      <c r="K577" s="4" t="n">
        <v>596</v>
      </c>
      <c r="L577" s="4" t="n">
        <v>180</v>
      </c>
      <c r="M577" s="5" t="n">
        <v>1.4</v>
      </c>
      <c r="N577" s="3" t="inlineStr">
        <is>
          <t>1</t>
        </is>
      </c>
      <c r="O577" s="3" t="inlineStr">
        <is>
          <t>B1</t>
        </is>
      </c>
      <c r="P577" s="3" t="inlineStr">
        <is>
          <t>야드 넓은 창고 저온창고로 사용되는 곳으로 층고 높아요</t>
        </is>
      </c>
      <c r="Q577" s="6">
        <f>HYPERLINK("https://fin.land.naver.com/articles/2652933488", "매물Link")</f>
        <v/>
      </c>
      <c r="R577" s="6">
        <f>HYPERLINK("https://map.naver.com/p/search/장군면 송학리 126-8", "지도Link")</f>
        <v/>
      </c>
      <c r="S577" s="6">
        <f>HYPERLINK("http://www.eum.go.kr/web/ar/lu/luLandDet.jsp?pnu=3611035031101260008&amp;isNoScr=script&amp;mode=search",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93.90000000000001</v>
      </c>
      <c r="W577" s="4" t="n">
        <v>1908</v>
      </c>
      <c r="X577" s="3" t="inlineStr">
        <is>
          <t>1동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창고시설</t>
        </is>
      </c>
      <c r="AB577" s="3" t="inlineStr">
        <is>
          <t>8.5m</t>
        </is>
      </c>
      <c r="AC577" s="3" t="inlineStr">
        <is>
          <t>2007-11</t>
        </is>
      </c>
      <c r="AD577" s="3" t="inlineStr">
        <is>
          <t>세로한면(가)</t>
        </is>
      </c>
    </row>
    <row r="578">
      <c r="A578" s="3" t="inlineStr">
        <is>
          <t>장군면 송학리 468-19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매매</t>
        </is>
      </c>
      <c r="F578" s="4" t="n">
        <v>70000</v>
      </c>
      <c r="G578" s="4" t="n">
        <v>0</v>
      </c>
      <c r="H578" s="4" t="n">
        <v>446</v>
      </c>
      <c r="I578" s="4" t="n">
        <v>135</v>
      </c>
      <c r="J578" s="5" t="n">
        <v>518.5</v>
      </c>
      <c r="K578" s="4" t="n">
        <v>89</v>
      </c>
      <c r="L578" s="4" t="n">
        <v>27</v>
      </c>
      <c r="M578" s="5" t="n">
        <v>2592.6</v>
      </c>
      <c r="N578" s="3" t="inlineStr">
        <is>
          <t>1</t>
        </is>
      </c>
      <c r="O578" s="3" t="inlineStr">
        <is>
          <t>-</t>
        </is>
      </c>
      <c r="P578" s="3" t="inlineStr">
        <is>
          <t>도로접함. 주변토지와 함께 개발가능</t>
        </is>
      </c>
      <c r="Q578" s="6">
        <f>HYPERLINK("https://fin.land.naver.com/articles/2652493840", "매물Link")</f>
        <v/>
      </c>
      <c r="R578" s="6">
        <f>HYPERLINK("https://map.naver.com/p/search/장군면 송학리 468-19", "지도Link")</f>
        <v/>
      </c>
      <c r="S578" s="6">
        <f>HYPERLINK("http://www.eum.go.kr/web/ar/lu/luLandDet.jsp?pnu=3611035031104680019&amp;isNoScr=script&amp;mode=search", "토지이음")</f>
        <v/>
      </c>
      <c r="T578" s="3" t="inlineStr">
        <is>
          <t>터</t>
        </is>
      </c>
      <c r="U578" s="4" t="n">
        <v>1</v>
      </c>
      <c r="V578" s="5" t="n">
        <v>54.7</v>
      </c>
      <c r="W578" s="4" t="n">
        <v>446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제2종근생</t>
        </is>
      </c>
      <c r="AB578" s="3" t="inlineStr">
        <is>
          <t>5.2m</t>
        </is>
      </c>
      <c r="AC578" s="3" t="inlineStr">
        <is>
          <t>2023-09</t>
        </is>
      </c>
      <c r="AD578" s="3" t="inlineStr">
        <is>
          <t>세로한면(가)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서세종ic 10분, 2차로변으로 노출좋고 접근성 좋아요</t>
        </is>
      </c>
      <c r="Q579" s="6">
        <f>HYPERLINK("https://fin.land.naver.com/articles/2651623632",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세종다올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1000</v>
      </c>
      <c r="G580" s="4" t="n">
        <v>50</v>
      </c>
      <c r="H580" s="4" t="n">
        <v>1500</v>
      </c>
      <c r="I580" s="4" t="n">
        <v>454</v>
      </c>
      <c r="J580" s="5" t="n">
        <v>0.1</v>
      </c>
      <c r="K580" s="4" t="n">
        <v>50</v>
      </c>
      <c r="L580" s="4" t="n">
        <v>15</v>
      </c>
      <c r="M580" s="5" t="n">
        <v>3.3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 접한 소형 창고 내부 화장실 있으며 주차 용이합니다</t>
        </is>
      </c>
      <c r="Q580" s="6">
        <f>HYPERLINK("https://fin.land.naver.com/articles/2650884073",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제2동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제1종근생</t>
        </is>
      </c>
      <c r="AB580" s="3" t="inlineStr">
        <is>
          <t>8.5m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3000</v>
      </c>
      <c r="G581" s="4" t="n">
        <v>200</v>
      </c>
      <c r="H581" s="4" t="n">
        <v>1500</v>
      </c>
      <c r="I581" s="4" t="n">
        <v>454</v>
      </c>
      <c r="J581" s="5" t="n">
        <v>0.4</v>
      </c>
      <c r="K581" s="4" t="n">
        <v>249</v>
      </c>
      <c r="L581" s="4" t="n">
        <v>75</v>
      </c>
      <c r="M581" s="5" t="n">
        <v>2.7</v>
      </c>
      <c r="N581" s="3" t="inlineStr">
        <is>
          <t>1</t>
        </is>
      </c>
      <c r="O581" s="3" t="inlineStr">
        <is>
          <t>-</t>
        </is>
      </c>
      <c r="P581" s="3" t="inlineStr">
        <is>
          <t>평기리 냉장냉동 창고임대</t>
        </is>
      </c>
      <c r="Q581" s="6">
        <f>HYPERLINK("https://fin.land.naver.com/articles/2652590871",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대전신화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7.6m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173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150</v>
      </c>
      <c r="H582" s="4" t="n">
        <v>1500</v>
      </c>
      <c r="I582" s="4" t="n">
        <v>454</v>
      </c>
      <c r="J582" s="5" t="n">
        <v>0.3</v>
      </c>
      <c r="K582" s="4" t="n">
        <v>199</v>
      </c>
      <c r="L582" s="4" t="n">
        <v>60</v>
      </c>
      <c r="M582" s="5" t="n">
        <v>2.5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워크인 냉장고 있는 상하차 편리한 창고</t>
        </is>
      </c>
      <c r="Q582" s="6">
        <f>HYPERLINK("https://fin.land.naver.com/articles/2651936647", "매물Link")</f>
        <v/>
      </c>
      <c r="R582" s="6">
        <f>HYPERLINK("https://map.naver.com/p/search/장군면 평기리 173", "지도Link")</f>
        <v/>
      </c>
      <c r="S582" s="6">
        <f>HYPERLINK("http://www.eum.go.kr/web/ar/lu/luLandDet.jsp?pnu=3611035022101730000&amp;isNoScr=script&amp;mode=search",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124</v>
      </c>
      <c r="W582" s="4" t="n">
        <v>1500</v>
      </c>
      <c r="X582" s="3" t="inlineStr">
        <is>
          <t>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제2종근생</t>
        </is>
      </c>
      <c r="AB582" s="3" t="inlineStr">
        <is>
          <t>7.6m</t>
        </is>
      </c>
      <c r="AC582" s="3" t="inlineStr">
        <is>
          <t>2019-12</t>
        </is>
      </c>
      <c r="AD582" s="3" t="inlineStr">
        <is>
          <t>소로각지</t>
        </is>
      </c>
    </row>
    <row r="583">
      <c r="A583" s="3" t="inlineStr">
        <is>
          <t>장군면 평기리 173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150</v>
      </c>
      <c r="H583" s="4" t="n">
        <v>600</v>
      </c>
      <c r="I583" s="4" t="n">
        <v>182</v>
      </c>
      <c r="J583" s="5" t="n">
        <v>0.8</v>
      </c>
      <c r="K583" s="4" t="n">
        <v>199</v>
      </c>
      <c r="L583" s="4" t="n">
        <v>60</v>
      </c>
      <c r="M583" s="5" t="n">
        <v>2.5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연접한 위치 내부에 화장실및 사무실 있습니다</t>
        </is>
      </c>
      <c r="Q583" s="6">
        <f>HYPERLINK("https://fin.land.naver.com/articles/2651247786", "매물Link")</f>
        <v/>
      </c>
      <c r="R583" s="6">
        <f>HYPERLINK("https://map.naver.com/p/search/장군면 평기리 173", "지도Link")</f>
        <v/>
      </c>
      <c r="S583" s="6">
        <f>HYPERLINK("http://www.eum.go.kr/web/ar/lu/luLandDet.jsp?pnu=3611035022101730000&amp;isNoScr=script&amp;mode=search",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124</v>
      </c>
      <c r="W583" s="4" t="n">
        <v>1500</v>
      </c>
      <c r="X583" s="3" t="inlineStr">
        <is>
          <t>제3동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7.6m</t>
        </is>
      </c>
      <c r="AC583" s="3" t="inlineStr">
        <is>
          <t>2019-12</t>
        </is>
      </c>
      <c r="AD583" s="3" t="inlineStr">
        <is>
          <t>소로각지</t>
        </is>
      </c>
    </row>
    <row r="584">
      <c r="A584" s="3" t="inlineStr">
        <is>
          <t>장군면 평기리 173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1000</v>
      </c>
      <c r="G584" s="4" t="n">
        <v>50</v>
      </c>
      <c r="H584" s="4" t="n">
        <v>1500</v>
      </c>
      <c r="I584" s="4" t="n">
        <v>454</v>
      </c>
      <c r="J584" s="5" t="n">
        <v>0.1</v>
      </c>
      <c r="K584" s="4" t="n">
        <v>50</v>
      </c>
      <c r="L584" s="4" t="n">
        <v>15</v>
      </c>
      <c r="M584" s="5" t="n">
        <v>3.3</v>
      </c>
      <c r="N584" s="3" t="inlineStr">
        <is>
          <t>1</t>
        </is>
      </c>
      <c r="O584" s="3" t="inlineStr">
        <is>
          <t>-</t>
        </is>
      </c>
      <c r="P584" s="3" t="inlineStr">
        <is>
          <t>서세종ic 10분, 2차로에 위치한 소형사무실이나 창고</t>
        </is>
      </c>
      <c r="Q584" s="6">
        <f>HYPERLINK("https://fin.land.naver.com/articles/2651632128", "매물Link")</f>
        <v/>
      </c>
      <c r="R584" s="6">
        <f>HYPERLINK("https://map.naver.com/p/search/장군면 평기리 173", "지도Link")</f>
        <v/>
      </c>
      <c r="S584" s="6">
        <f>HYPERLINK("http://www.eum.go.kr/web/ar/lu/luLandDet.jsp?pnu=3611035022101730000&amp;isNoScr=script&amp;mode=search", "토지이음")</f>
        <v/>
      </c>
      <c r="T584" s="3" t="inlineStr">
        <is>
          <t>세종다올</t>
        </is>
      </c>
      <c r="U584" s="4" t="n">
        <v>1</v>
      </c>
      <c r="V584" s="5" t="n">
        <v>124</v>
      </c>
      <c r="W584" s="4" t="n">
        <v>1500</v>
      </c>
      <c r="X584" s="3" t="inlineStr">
        <is>
          <t>제2동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8.5m</t>
        </is>
      </c>
      <c r="AC584" s="3" t="inlineStr">
        <is>
          <t>2019-12</t>
        </is>
      </c>
      <c r="AD584" s="3" t="inlineStr">
        <is>
          <t>소로각지</t>
        </is>
      </c>
    </row>
    <row r="585">
      <c r="A585" s="3" t="inlineStr">
        <is>
          <t>장군면 평기리 287-25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월세</t>
        </is>
      </c>
      <c r="F585" s="4" t="n">
        <v>2000</v>
      </c>
      <c r="G585" s="4" t="n">
        <v>135</v>
      </c>
      <c r="H585" s="4" t="n">
        <v>423</v>
      </c>
      <c r="I585" s="4" t="n">
        <v>128</v>
      </c>
      <c r="J585" s="5" t="n">
        <v>1.1</v>
      </c>
      <c r="K585" s="4" t="n">
        <v>168</v>
      </c>
      <c r="L585" s="4" t="n">
        <v>51</v>
      </c>
      <c r="M585" s="5" t="n">
        <v>2.6</v>
      </c>
      <c r="N585" s="3" t="inlineStr">
        <is>
          <t>1</t>
        </is>
      </c>
      <c r="O585" s="3" t="inlineStr">
        <is>
          <t>-</t>
        </is>
      </c>
      <c r="P585" s="3" t="inlineStr">
        <is>
          <t>서세종IC 10분거리 즉시 입주 가능 진.출입 원활한 위치입니다</t>
        </is>
      </c>
      <c r="Q585" s="6">
        <f>HYPERLINK("https://fin.land.naver.com/articles/2655279952", "매물Link")</f>
        <v/>
      </c>
      <c r="R585" s="6">
        <f>HYPERLINK("https://map.naver.com/p/search/장군면 평기리 287-25", "지도Link")</f>
        <v/>
      </c>
      <c r="S585" s="6">
        <f>HYPERLINK("http://www.eum.go.kr/web/ar/lu/luLandDet.jsp?pnu=3611035022102870025&amp;isNoScr=script&amp;mode=search", "토지이음")</f>
        <v/>
      </c>
      <c r="T585" s="3" t="inlineStr">
        <is>
          <t>세종공주원탑</t>
        </is>
      </c>
      <c r="U585" s="4" t="n">
        <v>3</v>
      </c>
      <c r="V585" s="5" t="n">
        <v>136</v>
      </c>
      <c r="W585" s="4" t="n">
        <v>423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제1종근생</t>
        </is>
      </c>
      <c r="AB585" s="3" t="inlineStr">
        <is>
          <t>7.05m</t>
        </is>
      </c>
      <c r="AC585" s="3" t="inlineStr">
        <is>
          <t>2018-12</t>
        </is>
      </c>
      <c r="AD585" s="3" t="inlineStr">
        <is>
          <t>세로한면(가)</t>
        </is>
      </c>
    </row>
    <row r="586">
      <c r="A586" s="3" t="inlineStr">
        <is>
          <t>장군면 평기리 288-4</t>
        </is>
      </c>
      <c r="B586" s="3" t="inlineStr">
        <is>
          <t>계획관리지역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160</v>
      </c>
      <c r="H586" s="4" t="n">
        <v>828</v>
      </c>
      <c r="I586" s="4" t="n">
        <v>250</v>
      </c>
      <c r="J586" s="5" t="n">
        <v>0.6</v>
      </c>
      <c r="K586" s="4" t="n">
        <v>199</v>
      </c>
      <c r="L586" s="4" t="n">
        <v>60</v>
      </c>
      <c r="M586" s="5" t="n">
        <v>2.7</v>
      </c>
      <c r="N586" s="3" t="inlineStr">
        <is>
          <t>1</t>
        </is>
      </c>
      <c r="O586" s="3" t="inlineStr">
        <is>
          <t>-</t>
        </is>
      </c>
      <c r="P586" s="3" t="inlineStr">
        <is>
          <t>2차선 도로와 연접 서세종IC 이용편리 사무실및 화장실 12월1일 입주</t>
        </is>
      </c>
      <c r="Q586" s="6">
        <f>HYPERLINK("https://fin.land.naver.com/articles/2652932599", "매물Link")</f>
        <v/>
      </c>
      <c r="R586" s="6">
        <f>HYPERLINK("https://map.naver.com/p/search/장군면 평기리 288-4", "지도Link")</f>
        <v/>
      </c>
      <c r="S586" s="6">
        <f>HYPERLINK("http://www.eum.go.kr/web/ar/lu/luLandDet.jsp?pnu=3611035022102880004&amp;isNoScr=script&amp;mode=search", "토지이음")</f>
        <v/>
      </c>
      <c r="T586" s="3" t="inlineStr">
        <is>
          <t>세종공주원탑</t>
        </is>
      </c>
      <c r="U586" s="4" t="n">
        <v>1</v>
      </c>
      <c r="V586" s="5" t="n">
        <v>134.8</v>
      </c>
      <c r="W586" s="4" t="n">
        <v>727</v>
      </c>
      <c r="X586" s="3" t="inlineStr">
        <is>
          <t>주건축물제3동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창고시설</t>
        </is>
      </c>
      <c r="AB586" s="3" t="inlineStr">
        <is>
          <t>7.8m</t>
        </is>
      </c>
      <c r="AC586" s="3" t="inlineStr">
        <is>
          <t>2014-10</t>
        </is>
      </c>
      <c r="AD586" s="3" t="inlineStr">
        <is>
          <t>소로한면</t>
        </is>
      </c>
    </row>
    <row r="587">
      <c r="A587" s="3" t="inlineStr">
        <is>
          <t>장군면 평기리 288-4</t>
        </is>
      </c>
      <c r="B587" s="3" t="inlineStr">
        <is>
          <t>계획관리지역</t>
        </is>
      </c>
      <c r="C587" s="3" t="inlineStr">
        <is>
          <t>창고용지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1500</v>
      </c>
      <c r="G587" s="4" t="n">
        <v>110</v>
      </c>
      <c r="H587" s="4" t="n">
        <v>727</v>
      </c>
      <c r="I587" s="4" t="n">
        <v>220</v>
      </c>
      <c r="J587" s="5" t="n">
        <v>0.5</v>
      </c>
      <c r="K587" s="4" t="n">
        <v>150</v>
      </c>
      <c r="L587" s="4" t="n">
        <v>45</v>
      </c>
      <c r="M587" s="5" t="n">
        <v>2.4</v>
      </c>
      <c r="N587" s="3" t="inlineStr">
        <is>
          <t>1</t>
        </is>
      </c>
      <c r="O587" s="3" t="inlineStr">
        <is>
          <t>-</t>
        </is>
      </c>
      <c r="P587" s="3" t="inlineStr">
        <is>
          <t>2차선 도로와 연접 2층 구조 일정 면적 사무 공간으로 설치됨</t>
        </is>
      </c>
      <c r="Q587" s="6">
        <f>HYPERLINK("https://fin.land.naver.com/articles/2655039332", "매물Link")</f>
        <v/>
      </c>
      <c r="R587" s="6">
        <f>HYPERLINK("https://map.naver.com/p/search/장군면 평기리 288-4", "지도Link")</f>
        <v/>
      </c>
      <c r="S587" s="6">
        <f>HYPERLINK("http://www.eum.go.kr/web/ar/lu/luLandDet.jsp?pnu=3611035022102880004&amp;isNoScr=script&amp;mode=search", "토지이음")</f>
        <v/>
      </c>
      <c r="T587" s="3" t="inlineStr">
        <is>
          <t>세종공주원탑</t>
        </is>
      </c>
      <c r="U587" s="4" t="n">
        <v>1</v>
      </c>
      <c r="V587" s="5" t="n">
        <v>134.8</v>
      </c>
      <c r="W587" s="4" t="n">
        <v>727</v>
      </c>
      <c r="X587" s="3" t="inlineStr">
        <is>
          <t>주건축물제3동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창고시설</t>
        </is>
      </c>
      <c r="AB587" s="3" t="inlineStr">
        <is>
          <t>7.8m</t>
        </is>
      </c>
      <c r="AC587" s="3" t="inlineStr">
        <is>
          <t>2014-10</t>
        </is>
      </c>
      <c r="AD587" s="3" t="inlineStr">
        <is>
          <t>소로한면</t>
        </is>
      </c>
    </row>
    <row r="588">
      <c r="A588" s="3" t="inlineStr">
        <is>
          <t>장군면 하봉리 182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230000</v>
      </c>
      <c r="G588" s="4" t="n">
        <v>0</v>
      </c>
      <c r="H588" s="4" t="n">
        <v>3388</v>
      </c>
      <c r="I588" s="4" t="n">
        <v>1025</v>
      </c>
      <c r="J588" s="5" t="n">
        <v>224.4</v>
      </c>
      <c r="K588" s="4" t="n">
        <v>768</v>
      </c>
      <c r="L588" s="4" t="n">
        <v>232</v>
      </c>
      <c r="M588" s="5" t="n">
        <v>991.4</v>
      </c>
      <c r="N588" s="3" t="inlineStr">
        <is>
          <t>2</t>
        </is>
      </c>
      <c r="O588" s="3" t="inlineStr">
        <is>
          <t>-</t>
        </is>
      </c>
      <c r="P588" s="3" t="inlineStr">
        <is>
          <t>태양광 100kw설치된 서세종IC 5분, 사무실 완비 공장 매매임대</t>
        </is>
      </c>
      <c r="Q588" s="6">
        <f>HYPERLINK("https://fin.land.naver.com/articles/2654665947", "매물Link")</f>
        <v/>
      </c>
      <c r="R588" s="6">
        <f>HYPERLINK("https://map.naver.com/p/search/장군면 하봉리 182", "지도Link")</f>
        <v/>
      </c>
      <c r="S588" s="6">
        <f>HYPERLINK("http://www.eum.go.kr/web/ar/lu/luLandDet.jsp?pnu=3611035026101820000&amp;isNoScr=script&amp;mode=search",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117.3</v>
      </c>
      <c r="W588" s="4" t="n">
        <v>1438</v>
      </c>
      <c r="X588" s="3" t="inlineStr">
        <is>
          <t>미표기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11.35m</t>
        </is>
      </c>
      <c r="AC588" s="3" t="inlineStr">
        <is>
          <t>2011-04</t>
        </is>
      </c>
      <c r="AD588" s="3" t="inlineStr">
        <is>
          <t>세로한면(가)</t>
        </is>
      </c>
    </row>
    <row r="589">
      <c r="A589" s="3" t="inlineStr">
        <is>
          <t>장군면 하봉리 182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230000</v>
      </c>
      <c r="G589" s="4" t="n">
        <v>0</v>
      </c>
      <c r="H589" s="4" t="n">
        <v>3388</v>
      </c>
      <c r="I589" s="4" t="n">
        <v>1025</v>
      </c>
      <c r="J589" s="5" t="n">
        <v>224.4</v>
      </c>
      <c r="K589" s="4" t="n">
        <v>768</v>
      </c>
      <c r="L589" s="4" t="n">
        <v>232</v>
      </c>
      <c r="M589" s="5" t="n">
        <v>991.4</v>
      </c>
      <c r="N589" s="3" t="inlineStr">
        <is>
          <t>2</t>
        </is>
      </c>
      <c r="O589" s="3" t="inlineStr">
        <is>
          <t>-</t>
        </is>
      </c>
      <c r="P589" s="3" t="inlineStr">
        <is>
          <t>서세종IC 5분 세종시 장군면 귀한 공장 매매</t>
        </is>
      </c>
      <c r="Q589" s="6">
        <f>HYPERLINK("https://fin.land.naver.com/articles/2654666585", "매물Link")</f>
        <v/>
      </c>
      <c r="R589" s="6">
        <f>HYPERLINK("https://map.naver.com/p/search/장군면 하봉리 182", "지도Link")</f>
        <v/>
      </c>
      <c r="S589" s="6">
        <f>HYPERLINK("http://www.eum.go.kr/web/ar/lu/luLandDet.jsp?pnu=3611035026101820000&amp;isNoScr=script&amp;mode=search", "토지이음")</f>
        <v/>
      </c>
      <c r="T589" s="3" t="inlineStr">
        <is>
          <t>청담</t>
        </is>
      </c>
      <c r="U589" s="4" t="n">
        <v>2</v>
      </c>
      <c r="V589" s="5" t="n">
        <v>117.3</v>
      </c>
      <c r="W589" s="4" t="n">
        <v>1438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11.35m</t>
        </is>
      </c>
      <c r="AC589" s="3" t="inlineStr">
        <is>
          <t>2011-04</t>
        </is>
      </c>
      <c r="AD589" s="3" t="inlineStr">
        <is>
          <t>세로한면(가)</t>
        </is>
      </c>
    </row>
    <row r="590">
      <c r="A590" s="3" t="inlineStr">
        <is>
          <t>장군면 하봉리 182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230000</v>
      </c>
      <c r="G590" s="4" t="n">
        <v>0</v>
      </c>
      <c r="H590" s="4" t="n">
        <v>3225</v>
      </c>
      <c r="I590" s="4" t="n">
        <v>976</v>
      </c>
      <c r="J590" s="5" t="n">
        <v>235.7</v>
      </c>
      <c r="K590" s="4" t="n">
        <v>768</v>
      </c>
      <c r="L590" s="4" t="n">
        <v>232</v>
      </c>
      <c r="M590" s="5" t="n">
        <v>991.4</v>
      </c>
      <c r="N590" s="3" t="inlineStr">
        <is>
          <t>2</t>
        </is>
      </c>
      <c r="O590" s="3" t="inlineStr">
        <is>
          <t>-</t>
        </is>
      </c>
      <c r="P590" s="3" t="inlineStr">
        <is>
          <t>서세종 IC 인접, 태양광설치, 민원소지 적은곳</t>
        </is>
      </c>
      <c r="Q590" s="6">
        <f>HYPERLINK("https://fin.land.naver.com/articles/2654118503", "매물Link")</f>
        <v/>
      </c>
      <c r="R590" s="6">
        <f>HYPERLINK("https://map.naver.com/p/search/장군면 하봉리 182", "지도Link")</f>
        <v/>
      </c>
      <c r="S590" s="6">
        <f>HYPERLINK("http://www.eum.go.kr/web/ar/lu/luLandDet.jsp?pnu=3611035026101820000&amp;isNoScr=script&amp;mode=search", "토지이음")</f>
        <v/>
      </c>
      <c r="T590" s="3" t="inlineStr">
        <is>
          <t>부원</t>
        </is>
      </c>
      <c r="U590" s="4" t="n">
        <v>1</v>
      </c>
      <c r="V590" s="5" t="n">
        <v>117.3</v>
      </c>
      <c r="W590" s="4" t="n">
        <v>1438</v>
      </c>
      <c r="X590" s="3" t="inlineStr">
        <is>
          <t>미표기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11.35m</t>
        </is>
      </c>
      <c r="AC590" s="3" t="inlineStr">
        <is>
          <t>2011-04</t>
        </is>
      </c>
      <c r="AD590" s="3" t="inlineStr">
        <is>
          <t>세로한면(가)</t>
        </is>
      </c>
    </row>
    <row r="591">
      <c r="A591" s="3" t="inlineStr">
        <is>
          <t>전동면 노장리 327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매매</t>
        </is>
      </c>
      <c r="F591" s="4" t="n">
        <v>105000</v>
      </c>
      <c r="G591" s="4" t="n">
        <v>0</v>
      </c>
      <c r="H591" s="4" t="n">
        <v>2165</v>
      </c>
      <c r="I591" s="4" t="n">
        <v>655</v>
      </c>
      <c r="J591" s="5" t="n">
        <v>160.3</v>
      </c>
      <c r="K591" s="4" t="n">
        <v>708</v>
      </c>
      <c r="L591" s="4" t="n">
        <v>214</v>
      </c>
      <c r="M591" s="5" t="n">
        <v>490.7</v>
      </c>
      <c r="N591" s="3" t="inlineStr">
        <is>
          <t>1</t>
        </is>
      </c>
      <c r="O591" s="3" t="inlineStr">
        <is>
          <t>-</t>
        </is>
      </c>
      <c r="P591" s="3" t="inlineStr">
        <is>
          <t>노장산업단지 인근 두필지 창고2동,주택</t>
        </is>
      </c>
      <c r="Q591" s="6">
        <f>HYPERLINK("https://fin.land.naver.com/articles/2655702841", "매물Link")</f>
        <v/>
      </c>
      <c r="R591" s="6">
        <f>HYPERLINK("https://map.naver.com/p/search/전동면 노장리 327", "지도Link")</f>
        <v/>
      </c>
      <c r="S591" s="6">
        <f>HYPERLINK("http://www.eum.go.kr/web/ar/lu/luLandDet.jsp?pnu=3611038021103270000&amp;isNoScr=script&amp;mode=search", "토지이음")</f>
        <v/>
      </c>
      <c r="T591" s="3" t="inlineStr">
        <is>
          <t>OK수</t>
        </is>
      </c>
      <c r="U591" s="4" t="n">
        <v>1</v>
      </c>
      <c r="V591" s="5" t="n">
        <v>45.8</v>
      </c>
      <c r="W591" s="4" t="n">
        <v>993</v>
      </c>
      <c r="X591" s="3" t="inlineStr">
        <is>
          <t>2동</t>
        </is>
      </c>
      <c r="Y591" s="7" t="inlineStr">
        <is>
          <t>1층</t>
        </is>
      </c>
      <c r="Z591" s="3" t="inlineStr">
        <is>
          <t>경량철골구조</t>
        </is>
      </c>
      <c r="AA591" s="3" t="inlineStr">
        <is>
          <t>단독주택</t>
        </is>
      </c>
      <c r="AB591" s="3" t="inlineStr">
        <is>
          <t>-</t>
        </is>
      </c>
      <c r="AC591" s="3" t="inlineStr">
        <is>
          <t>2002-10</t>
        </is>
      </c>
      <c r="AD591" s="3" t="inlineStr">
        <is>
          <t>세로한면(가)</t>
        </is>
      </c>
    </row>
    <row r="592">
      <c r="A592" s="3" t="inlineStr">
        <is>
          <t>전동면 노장리 512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공장</t>
        </is>
      </c>
      <c r="E592" s="3" t="inlineStr">
        <is>
          <t>매매</t>
        </is>
      </c>
      <c r="F592" s="4" t="n">
        <v>150000</v>
      </c>
      <c r="G592" s="4" t="n">
        <v>0</v>
      </c>
      <c r="H592" s="4" t="n">
        <v>346</v>
      </c>
      <c r="I592" s="4" t="n">
        <v>105</v>
      </c>
      <c r="J592" s="5" t="n">
        <v>1428.6</v>
      </c>
      <c r="K592" s="4" t="n">
        <v>346</v>
      </c>
      <c r="L592" s="4" t="n">
        <v>105</v>
      </c>
      <c r="M592" s="5" t="n">
        <v>1428.6</v>
      </c>
      <c r="N592" s="3" t="inlineStr">
        <is>
          <t>1</t>
        </is>
      </c>
      <c r="O592" s="3" t="inlineStr">
        <is>
          <t>B1</t>
        </is>
      </c>
      <c r="P592" s="3" t="inlineStr">
        <is>
          <t>2차선 도로와 연접한 철골제작 공장 임대도 가능</t>
        </is>
      </c>
      <c r="Q592" s="6">
        <f>HYPERLINK("https://fin.land.naver.com/articles/2654678711", "매물Link")</f>
        <v/>
      </c>
      <c r="R592" s="6">
        <f>HYPERLINK("https://map.naver.com/p/search/전동면 노장리 512", "지도Link")</f>
        <v/>
      </c>
      <c r="S592" s="6">
        <f>HYPERLINK("http://www.eum.go.kr/web/ar/lu/luLandDet.jsp?pnu=3611038021105120000&amp;isNoScr=script&amp;mode=search", "토지이음")</f>
        <v/>
      </c>
      <c r="T592" s="3" t="inlineStr">
        <is>
          <t>세종공주원탑</t>
        </is>
      </c>
      <c r="U592" s="4" t="n">
        <v>1</v>
      </c>
      <c r="V592" s="5" t="n">
        <v>73</v>
      </c>
      <c r="W592" s="4" t="n">
        <v>996</v>
      </c>
      <c r="X592" s="3" t="inlineStr">
        <is>
          <t>미표기</t>
        </is>
      </c>
      <c r="Y592" s="7" t="inlineStr">
        <is>
          <t>1층</t>
        </is>
      </c>
      <c r="Z592" s="3" t="inlineStr">
        <is>
          <t>경량철골구조</t>
        </is>
      </c>
      <c r="AA592" s="3" t="inlineStr">
        <is>
          <t>단독주택</t>
        </is>
      </c>
      <c r="AB592" s="3" t="inlineStr">
        <is>
          <t>-</t>
        </is>
      </c>
      <c r="AC592" s="3" t="inlineStr">
        <is>
          <t>1989</t>
        </is>
      </c>
      <c r="AD592" s="3" t="inlineStr">
        <is>
          <t>소로한면</t>
        </is>
      </c>
    </row>
    <row r="593">
      <c r="A593" s="3" t="inlineStr">
        <is>
          <t>전동면 미곡리 450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72000</v>
      </c>
      <c r="G593" s="4" t="n">
        <v>0</v>
      </c>
      <c r="H593" s="4" t="n">
        <v>2377</v>
      </c>
      <c r="I593" s="4" t="n">
        <v>719</v>
      </c>
      <c r="J593" s="5" t="n">
        <v>100.1</v>
      </c>
      <c r="K593" s="4" t="n">
        <v>950</v>
      </c>
      <c r="L593" s="4" t="n">
        <v>287</v>
      </c>
      <c r="M593" s="5" t="n">
        <v>250.9</v>
      </c>
      <c r="N593" s="3" t="inlineStr">
        <is>
          <t>1</t>
        </is>
      </c>
      <c r="O593" s="3" t="inlineStr">
        <is>
          <t>-</t>
        </is>
      </c>
      <c r="P593" s="3" t="inlineStr">
        <is>
          <t>토지719,건물288,천고4미터, 단독공장</t>
        </is>
      </c>
      <c r="Q593" s="6">
        <f>HYPERLINK("https://fin.land.naver.com/articles/2653368728", "매물Link")</f>
        <v/>
      </c>
      <c r="R593" s="6">
        <f>HYPERLINK("https://map.naver.com/p/search/전동면 미곡리 450", "지도Link")</f>
        <v/>
      </c>
      <c r="S593" s="6">
        <f>HYPERLINK("http://www.eum.go.kr/web/ar/lu/luLandDet.jsp?pnu=3611038029104500000&amp;isNoScr=script&amp;mode=search", "토지이음")</f>
        <v/>
      </c>
      <c r="T593" s="3" t="inlineStr">
        <is>
          <t>복두꺼비</t>
        </is>
      </c>
      <c r="U593" s="4" t="n">
        <v>1</v>
      </c>
      <c r="V593" s="5" t="n">
        <v>37.9</v>
      </c>
      <c r="W593" s="4" t="n">
        <v>2377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10.0m</t>
        </is>
      </c>
      <c r="AC593" s="3" t="inlineStr">
        <is>
          <t>2002-04</t>
        </is>
      </c>
      <c r="AD593" s="3" t="inlineStr">
        <is>
          <t>세로한면(가)</t>
        </is>
      </c>
    </row>
    <row r="594">
      <c r="A594" s="3" t="inlineStr">
        <is>
          <t>전동면 봉대리 60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30000</v>
      </c>
      <c r="G594" s="4" t="n">
        <v>2970</v>
      </c>
      <c r="H594" s="4" t="n">
        <v>7215</v>
      </c>
      <c r="I594" s="4" t="n">
        <v>2183</v>
      </c>
      <c r="J594" s="5" t="n">
        <v>1.4</v>
      </c>
      <c r="K594" s="4" t="n">
        <v>4462</v>
      </c>
      <c r="L594" s="4" t="n">
        <v>1350</v>
      </c>
      <c r="M594" s="5" t="n">
        <v>2.2</v>
      </c>
      <c r="N594" s="3" t="inlineStr">
        <is>
          <t>1</t>
        </is>
      </c>
      <c r="O594" s="3" t="inlineStr">
        <is>
          <t>-</t>
        </is>
      </c>
      <c r="P594" s="3" t="inlineStr">
        <is>
          <t>바닥, 지붕 리모델링, 관리비 없음, 노장농공단지 인근, 넓은 마당</t>
        </is>
      </c>
      <c r="Q594" s="6">
        <f>HYPERLINK("https://fin.land.naver.com/articles/2652115526", "매물Link")</f>
        <v/>
      </c>
      <c r="R594" s="6">
        <f>HYPERLINK("https://map.naver.com/p/search/전동면 봉대리 60", "지도Link")</f>
        <v/>
      </c>
      <c r="S594" s="6">
        <f>HYPERLINK("http://www.eum.go.kr/web/ar/lu/luLandDet.jsp?pnu=3611038022100600000&amp;isNoScr=script&amp;mode=search",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65.09999999999999</v>
      </c>
      <c r="W594" s="4" t="n">
        <v>7215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1991-03</t>
        </is>
      </c>
      <c r="AD594" s="3" t="inlineStr">
        <is>
          <t>소로각지</t>
        </is>
      </c>
    </row>
    <row r="595">
      <c r="A595" s="3" t="inlineStr">
        <is>
          <t>전동면 송곡리 285-42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80000</v>
      </c>
      <c r="G595" s="4" t="n">
        <v>0</v>
      </c>
      <c r="H595" s="4" t="n">
        <v>919</v>
      </c>
      <c r="I595" s="4" t="n">
        <v>278</v>
      </c>
      <c r="J595" s="5" t="n">
        <v>287.8</v>
      </c>
      <c r="K595" s="4" t="n">
        <v>272</v>
      </c>
      <c r="L595" s="4" t="n">
        <v>82</v>
      </c>
      <c r="M595" s="5" t="n">
        <v>975.6</v>
      </c>
      <c r="N595" s="3" t="inlineStr">
        <is>
          <t>2</t>
        </is>
      </c>
      <c r="O595" s="3" t="inlineStr">
        <is>
          <t>-</t>
        </is>
      </c>
      <c r="P595" s="3" t="inlineStr">
        <is>
          <t>2차선 인근에 있는 공장건물 1동과 사무실로 이용하는 2층건물 일괄매매</t>
        </is>
      </c>
      <c r="Q595" s="6">
        <f>HYPERLINK("https://fin.land.naver.com/articles/2653852073", "매물Link")</f>
        <v/>
      </c>
      <c r="R595" s="6">
        <f>HYPERLINK("https://map.naver.com/p/search/전동면 송곡리 285-42", "지도Link")</f>
        <v/>
      </c>
      <c r="S595" s="6">
        <f>HYPERLINK("http://www.eum.go.kr/web/ar/lu/luLandDet.jsp?pnu=3611038026102850042&amp;isNoScr=script&amp;mode=search", "토지이음")</f>
        <v/>
      </c>
      <c r="T595" s="3" t="inlineStr">
        <is>
          <t>스마일세종</t>
        </is>
      </c>
      <c r="U595" s="4" t="n">
        <v>1</v>
      </c>
      <c r="V595" s="5" t="n">
        <v>55</v>
      </c>
      <c r="W595" s="4" t="n">
        <v>664</v>
      </c>
      <c r="X595" s="3" t="inlineStr">
        <is>
          <t>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8.2m</t>
        </is>
      </c>
      <c r="AC595" s="3" t="inlineStr">
        <is>
          <t>2014-03</t>
        </is>
      </c>
      <c r="AD595" s="3" t="inlineStr">
        <is>
          <t>세로한면(가)</t>
        </is>
      </c>
    </row>
    <row r="596">
      <c r="A596" s="3" t="inlineStr">
        <is>
          <t>전동면 송성리 675-1</t>
        </is>
      </c>
      <c r="B596" s="3" t="inlineStr">
        <is>
          <t>생산관리지역</t>
        </is>
      </c>
      <c r="C596" s="3" t="inlineStr">
        <is>
          <t>공장용지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3000</v>
      </c>
      <c r="G596" s="4" t="n">
        <v>300</v>
      </c>
      <c r="H596" s="4" t="n">
        <v>4621</v>
      </c>
      <c r="I596" s="4" t="n">
        <v>1398</v>
      </c>
      <c r="J596" s="5" t="n">
        <v>0.2</v>
      </c>
      <c r="K596" s="4" t="n">
        <v>606</v>
      </c>
      <c r="L596" s="4" t="n">
        <v>183</v>
      </c>
      <c r="M596" s="5" t="n">
        <v>1.6</v>
      </c>
      <c r="N596" s="3" t="inlineStr">
        <is>
          <t>1</t>
        </is>
      </c>
      <c r="O596" s="3" t="inlineStr">
        <is>
          <t>-</t>
        </is>
      </c>
      <c r="P596" s="3" t="inlineStr">
        <is>
          <t>세종,천안,조치원,오송  접근성과 입지 좋은 공장창고입니다.</t>
        </is>
      </c>
      <c r="Q596" s="6">
        <f>HYPERLINK("https://fin.land.naver.com/articles/2651886616", "매물Link")</f>
        <v/>
      </c>
      <c r="R596" s="6">
        <f>HYPERLINK("https://map.naver.com/p/search/전동면 송성리 675-1", "지도Link")</f>
        <v/>
      </c>
      <c r="S596" s="6">
        <f>HYPERLINK("http://www.eum.go.kr/web/ar/lu/luLandDet.jsp?pnu=3611038030106750001&amp;isNoScr=script&amp;mode=search", "토지이음")</f>
        <v/>
      </c>
      <c r="T596" s="3" t="inlineStr">
        <is>
          <t>천안다온</t>
        </is>
      </c>
      <c r="U596" s="4" t="n">
        <v>1</v>
      </c>
      <c r="V596" s="5" t="n">
        <v>22</v>
      </c>
      <c r="W596" s="4" t="n">
        <v>4485</v>
      </c>
      <c r="X596" s="3" t="inlineStr">
        <is>
          <t>미표기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-</t>
        </is>
      </c>
      <c r="AC596" s="3" t="inlineStr">
        <is>
          <t>1992-12</t>
        </is>
      </c>
      <c r="AD596" s="3" t="inlineStr">
        <is>
          <t>세로한면(가)</t>
        </is>
      </c>
    </row>
    <row r="597">
      <c r="A597" s="3" t="inlineStr">
        <is>
          <t>전동면 심중리 466-3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85000</v>
      </c>
      <c r="G597" s="4" t="n">
        <v>0</v>
      </c>
      <c r="H597" s="4" t="n">
        <v>578</v>
      </c>
      <c r="I597" s="4" t="n">
        <v>175</v>
      </c>
      <c r="J597" s="5" t="n">
        <v>485.7</v>
      </c>
      <c r="K597" s="4" t="n">
        <v>208</v>
      </c>
      <c r="L597" s="4" t="n">
        <v>63</v>
      </c>
      <c r="M597" s="5" t="n">
        <v>1349.2</v>
      </c>
      <c r="N597" s="3" t="inlineStr">
        <is>
          <t>1</t>
        </is>
      </c>
      <c r="O597" s="3" t="inlineStr">
        <is>
          <t>-</t>
        </is>
      </c>
      <c r="P597" s="3" t="inlineStr">
        <is>
          <t>2차선 도로에 접한 계획관리지역의 대지와 공장 및 호이스트 5톤과 3톤</t>
        </is>
      </c>
      <c r="Q597" s="6">
        <f>HYPERLINK("https://fin.land.naver.com/articles/2655062460", "매물Link")</f>
        <v/>
      </c>
      <c r="R597" s="6">
        <f>HYPERLINK("https://map.naver.com/p/search/전동면 심중리 466-3", "지도Link")</f>
        <v/>
      </c>
      <c r="S597" s="6">
        <f>HYPERLINK("http://www.eum.go.kr/web/ar/lu/luLandDet.jsp?pnu=3611038031104660003&amp;isNoScr=script&amp;mode=search",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81.40000000000001</v>
      </c>
      <c r="W597" s="4" t="n">
        <v>185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7.4m</t>
        </is>
      </c>
      <c r="AC597" s="3" t="inlineStr">
        <is>
          <t>2002-12</t>
        </is>
      </c>
      <c r="AD597" s="3" t="inlineStr">
        <is>
          <t>소로한면</t>
        </is>
      </c>
    </row>
    <row r="598">
      <c r="A598" s="3" t="inlineStr">
        <is>
          <t>전동면 심중리 466-3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85000</v>
      </c>
      <c r="G598" s="4" t="n">
        <v>0</v>
      </c>
      <c r="H598" s="4" t="n">
        <v>578</v>
      </c>
      <c r="I598" s="4" t="n">
        <v>175</v>
      </c>
      <c r="J598" s="5" t="n">
        <v>485.7</v>
      </c>
      <c r="K598" s="4" t="n">
        <v>208</v>
      </c>
      <c r="L598" s="4" t="n">
        <v>63</v>
      </c>
      <c r="M598" s="5" t="n">
        <v>1349.2</v>
      </c>
      <c r="N598" s="3" t="inlineStr">
        <is>
          <t>1</t>
        </is>
      </c>
      <c r="O598" s="3" t="inlineStr">
        <is>
          <t>-</t>
        </is>
      </c>
      <c r="P598" s="3" t="inlineStr">
        <is>
          <t>2차선 도로 연접 대형 차량 진.출입 원활 호이스트 3기 설치</t>
        </is>
      </c>
      <c r="Q598" s="6">
        <f>HYPERLINK("https://fin.land.naver.com/articles/2654678844", "매물Link")</f>
        <v/>
      </c>
      <c r="R598" s="6">
        <f>HYPERLINK("https://map.naver.com/p/search/전동면 심중리 466-3", "지도Link")</f>
        <v/>
      </c>
      <c r="S598" s="6">
        <f>HYPERLINK("http://www.eum.go.kr/web/ar/lu/luLandDet.jsp?pnu=3611038031104660003&amp;isNoScr=script&amp;mode=search",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81.40000000000001</v>
      </c>
      <c r="W598" s="4" t="n">
        <v>185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공장</t>
        </is>
      </c>
      <c r="AB598" s="3" t="inlineStr">
        <is>
          <t>7.4m</t>
        </is>
      </c>
      <c r="AC598" s="3" t="inlineStr">
        <is>
          <t>2002-12</t>
        </is>
      </c>
      <c r="AD598" s="3" t="inlineStr">
        <is>
          <t>소로한면</t>
        </is>
      </c>
    </row>
    <row r="599">
      <c r="A599" s="3" t="inlineStr">
        <is>
          <t>전동면 심중리 487-17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225000</v>
      </c>
      <c r="G599" s="4" t="n">
        <v>0</v>
      </c>
      <c r="H599" s="4" t="n">
        <v>2314</v>
      </c>
      <c r="I599" s="4" t="n">
        <v>700</v>
      </c>
      <c r="J599" s="5" t="n">
        <v>321.4</v>
      </c>
      <c r="K599" s="4" t="n">
        <v>628</v>
      </c>
      <c r="L599" s="4" t="n">
        <v>190</v>
      </c>
      <c r="M599" s="5" t="n">
        <v>1184.2</v>
      </c>
      <c r="N599" s="3" t="inlineStr">
        <is>
          <t>2</t>
        </is>
      </c>
      <c r="O599" s="3" t="inlineStr">
        <is>
          <t>-</t>
        </is>
      </c>
      <c r="P599" s="3" t="inlineStr">
        <is>
          <t>전동면 심중리 계획관리지역 공장용지 매매</t>
        </is>
      </c>
      <c r="Q599" s="6">
        <f>HYPERLINK("https://fin.land.naver.com/articles/2653160108", "매물Link")</f>
        <v/>
      </c>
      <c r="R599" s="6">
        <f>HYPERLINK("https://map.naver.com/p/search/전동면 심중리 487-17", "지도Link")</f>
        <v/>
      </c>
      <c r="S599" s="6">
        <f>HYPERLINK("http://www.eum.go.kr/web/ar/lu/luLandDet.jsp?pnu=3611038031104870017&amp;isNoScr=script&amp;mode=search", "토지이음")</f>
        <v/>
      </c>
      <c r="T599" s="3" t="inlineStr">
        <is>
          <t>스타트</t>
        </is>
      </c>
      <c r="U599" s="4" t="n">
        <v>1</v>
      </c>
      <c r="V599" s="5" t="n">
        <v>68</v>
      </c>
      <c r="W599" s="4" t="n">
        <v>2314</v>
      </c>
      <c r="X599" s="3" t="inlineStr">
        <is>
          <t>2동</t>
        </is>
      </c>
      <c r="Y599" s="7" t="inlineStr">
        <is>
          <t>2층</t>
        </is>
      </c>
      <c r="Z599" s="3" t="inlineStr">
        <is>
          <t>일반철골구조</t>
        </is>
      </c>
      <c r="AA599" s="3" t="inlineStr">
        <is>
          <t>공장</t>
        </is>
      </c>
      <c r="AB599" s="3" t="inlineStr">
        <is>
          <t>8.9m</t>
        </is>
      </c>
      <c r="AC599" s="3" t="inlineStr">
        <is>
          <t>2005-12</t>
        </is>
      </c>
      <c r="AD599" s="3" t="inlineStr">
        <is>
          <t>세로한면(가)</t>
        </is>
      </c>
    </row>
    <row r="600">
      <c r="A600" s="3" t="inlineStr">
        <is>
          <t>전의면 신정리 476-12</t>
        </is>
      </c>
      <c r="B600" s="3" t="inlineStr">
        <is>
          <t>농림지역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260000</v>
      </c>
      <c r="G600" s="4" t="n">
        <v>0</v>
      </c>
      <c r="H600" s="4" t="n">
        <v>8431</v>
      </c>
      <c r="I600" s="4" t="n">
        <v>2550</v>
      </c>
      <c r="J600" s="5" t="n">
        <v>102</v>
      </c>
      <c r="K600" s="4" t="n">
        <v>1228</v>
      </c>
      <c r="L600" s="4" t="n">
        <v>371</v>
      </c>
      <c r="M600" s="5" t="n">
        <v>700.8</v>
      </c>
      <c r="N600" s="3" t="inlineStr">
        <is>
          <t>2</t>
        </is>
      </c>
      <c r="O600" s="3" t="inlineStr">
        <is>
          <t>-</t>
        </is>
      </c>
      <c r="P600" s="3" t="inlineStr">
        <is>
          <t>세종시 전의면 신정리  계획관리지역내 폐기물재활용시설 제조공장 매도</t>
        </is>
      </c>
      <c r="Q600" s="6">
        <f>HYPERLINK("https://fin.land.naver.com/articles/2650901688", "매물Link")</f>
        <v/>
      </c>
      <c r="R600" s="6">
        <f>HYPERLINK("https://map.naver.com/p/search/전의면 신정리 476-12", "지도Link")</f>
        <v/>
      </c>
      <c r="S600" s="6">
        <f>HYPERLINK("http://www.eum.go.kr/web/ar/lu/luLandDet.jsp?pnu=3611037028104760012&amp;isNoScr=script&amp;mode=search", "토지이음")</f>
        <v/>
      </c>
      <c r="T600" s="3" t="inlineStr">
        <is>
          <t>리얼바인</t>
        </is>
      </c>
      <c r="U600" s="4" t="n">
        <v>1</v>
      </c>
      <c r="V600" s="5" t="n">
        <v>27</v>
      </c>
      <c r="W600" s="4" t="n">
        <v>6209</v>
      </c>
      <c r="X600" s="3" t="inlineStr">
        <is>
          <t>2동</t>
        </is>
      </c>
      <c r="Y600" s="7" t="inlineStr">
        <is>
          <t>2층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8.9m</t>
        </is>
      </c>
      <c r="AC600" s="3" t="inlineStr">
        <is>
          <t>2008-09</t>
        </is>
      </c>
      <c r="AD600" s="3" t="inlineStr">
        <is>
          <t>세로한면(가)</t>
        </is>
      </c>
    </row>
    <row r="601">
      <c r="A601" s="3" t="inlineStr">
        <is>
          <t>전의면 신흥리 96-1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3400000</v>
      </c>
      <c r="G601" s="4" t="n">
        <v>0</v>
      </c>
      <c r="H601" s="4" t="n">
        <v>55659</v>
      </c>
      <c r="I601" s="4" t="n">
        <v>16837</v>
      </c>
      <c r="J601" s="5" t="n">
        <v>201.9</v>
      </c>
      <c r="K601" s="4" t="n">
        <v>6916</v>
      </c>
      <c r="L601" s="4" t="n">
        <v>2092</v>
      </c>
      <c r="M601" s="5" t="n">
        <v>1625.2</v>
      </c>
      <c r="N601" s="3" t="inlineStr">
        <is>
          <t>2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HYPERLINK("https://fin.land.naver.com/articles/2654321549", "매물Link")</f>
        <v/>
      </c>
      <c r="R601" s="6">
        <f>HYPERLINK("https://map.naver.com/p/search/전의면 신흥리 96-1", "지도Link")</f>
        <v/>
      </c>
      <c r="S601" s="6">
        <f>HYPERLINK("http://www.eum.go.kr/web/ar/lu/luLandDet.jsp?pnu=3611037025100960001&amp;isNoScr=script&amp;mode=search", "토지이음")</f>
        <v/>
      </c>
      <c r="T601" s="3" t="inlineStr">
        <is>
          <t>주식회사플래티넘파트너스</t>
        </is>
      </c>
      <c r="U601" s="4" t="n">
        <v>1</v>
      </c>
      <c r="V601" s="5" t="n">
        <v>75</v>
      </c>
      <c r="W601" s="4" t="n">
        <v>48485</v>
      </c>
      <c r="X601" s="3" t="inlineStr">
        <is>
          <t>부2동</t>
        </is>
      </c>
      <c r="Y601" s="7" t="inlineStr">
        <is>
          <t>1층</t>
        </is>
      </c>
      <c r="Z601" s="3" t="inlineStr">
        <is>
          <t>경량철골구조</t>
        </is>
      </c>
      <c r="AA601" s="3" t="inlineStr">
        <is>
          <t>공장</t>
        </is>
      </c>
      <c r="AB601" s="3" t="inlineStr">
        <is>
          <t>2.7m</t>
        </is>
      </c>
      <c r="AC601" s="3" t="inlineStr">
        <is>
          <t>2018-12</t>
        </is>
      </c>
      <c r="AD601" s="3" t="inlineStr">
        <is>
          <t>소로한면</t>
        </is>
      </c>
    </row>
    <row r="602">
      <c r="A602" s="3" t="inlineStr">
        <is>
          <t>전의면 유천리 285-8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110000</v>
      </c>
      <c r="G602" s="4" t="n">
        <v>0</v>
      </c>
      <c r="H602" s="4" t="n">
        <v>2620</v>
      </c>
      <c r="I602" s="4" t="n">
        <v>793</v>
      </c>
      <c r="J602" s="5" t="n">
        <v>138.7</v>
      </c>
      <c r="K602" s="4" t="n">
        <v>587</v>
      </c>
      <c r="L602" s="4" t="n">
        <v>178</v>
      </c>
      <c r="M602" s="5" t="n">
        <v>618</v>
      </c>
      <c r="N602" s="3" t="inlineStr">
        <is>
          <t>1</t>
        </is>
      </c>
      <c r="O602" s="3" t="inlineStr">
        <is>
          <t>-</t>
        </is>
      </c>
      <c r="P602" s="3" t="inlineStr">
        <is>
          <t>유천리 마을 안쪽에 있어 민원이 많지 않은 공장용 건물과 대지를 일괄매매</t>
        </is>
      </c>
      <c r="Q602" s="6">
        <f>HYPERLINK("https://fin.land.naver.com/articles/2653245460", "매물Link")</f>
        <v/>
      </c>
      <c r="R602" s="6">
        <f>HYPERLINK("https://map.naver.com/p/search/전의면 유천리 285-8", "지도Link")</f>
        <v/>
      </c>
      <c r="S602" s="6">
        <f>HYPERLINK("http://www.eum.go.kr/web/ar/lu/luLandDet.jsp?pnu=3611037026102850008&amp;isNoScr=script&amp;mode=search", "토지이음")</f>
        <v/>
      </c>
      <c r="T602" s="3" t="inlineStr">
        <is>
          <t>스마일세종</t>
        </is>
      </c>
      <c r="U602" s="4" t="n">
        <v>1</v>
      </c>
      <c r="V602" s="5" t="n">
        <v>47.2</v>
      </c>
      <c r="W602" s="4" t="n">
        <v>2034</v>
      </c>
      <c r="X602" s="3" t="inlineStr">
        <is>
          <t>5동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9.5m</t>
        </is>
      </c>
      <c r="AC602" s="3" t="inlineStr">
        <is>
          <t>2014-08</t>
        </is>
      </c>
      <c r="AD602" s="3" t="inlineStr">
        <is>
          <t>세로한면(가)</t>
        </is>
      </c>
    </row>
    <row r="603">
      <c r="A603" s="3" t="inlineStr">
        <is>
          <t>전의면 유천리 296-13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</v>
      </c>
      <c r="G603" s="4" t="n">
        <v>0</v>
      </c>
      <c r="H603" s="4" t="n">
        <v>4748</v>
      </c>
      <c r="I603" s="4" t="n">
        <v>1436</v>
      </c>
      <c r="J603" s="5" t="n">
        <v>104.5</v>
      </c>
      <c r="K603" s="4" t="n">
        <v>549</v>
      </c>
      <c r="L603" s="4" t="n">
        <v>166</v>
      </c>
      <c r="M603" s="5" t="n">
        <v>903.6</v>
      </c>
      <c r="N603" s="3" t="inlineStr">
        <is>
          <t>1</t>
        </is>
      </c>
      <c r="O603" s="3" t="inlineStr">
        <is>
          <t>-</t>
        </is>
      </c>
      <c r="P603" s="3" t="inlineStr">
        <is>
          <t>민원 없는 단독 공장 제조업및 물류창고로 추천 추가 건축가능</t>
        </is>
      </c>
      <c r="Q603" s="6">
        <f>HYPERLINK("https://fin.land.naver.com/articles/2652175950", "매물Link")</f>
        <v/>
      </c>
      <c r="R603" s="6">
        <f>HYPERLINK("https://map.naver.com/p/search/전의면 유천리 296-13", "지도Link")</f>
        <v/>
      </c>
      <c r="S603" s="6">
        <f>HYPERLINK("http://www.eum.go.kr/web/ar/lu/luLandDet.jsp?pnu=3611037026102960013&amp;isNoScr=script&amp;mode=search", "토지이음")</f>
        <v/>
      </c>
      <c r="T603" s="3" t="inlineStr">
        <is>
          <t>세종공주원탑</t>
        </is>
      </c>
      <c r="U603" s="4" t="n">
        <v>1</v>
      </c>
      <c r="V603" s="5" t="n">
        <v>50.8</v>
      </c>
      <c r="W603" s="4" t="n">
        <v>4748</v>
      </c>
      <c r="X603" s="3" t="inlineStr">
        <is>
          <t>미표기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9.7m</t>
        </is>
      </c>
      <c r="AC603" s="3" t="inlineStr">
        <is>
          <t>2013-12</t>
        </is>
      </c>
      <c r="AD603" s="3" t="inlineStr">
        <is>
          <t>세로한면(가)</t>
        </is>
      </c>
    </row>
    <row r="604">
      <c r="A604" s="3" t="inlineStr">
        <is>
          <t>전의면 유천리 303-22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월세</t>
        </is>
      </c>
      <c r="F604" s="4" t="n">
        <v>1000</v>
      </c>
      <c r="G604" s="4" t="n">
        <v>100</v>
      </c>
      <c r="H604" s="4" t="n">
        <v>1470</v>
      </c>
      <c r="I604" s="4" t="n">
        <v>445</v>
      </c>
      <c r="J604" s="5" t="n">
        <v>0.2</v>
      </c>
      <c r="K604" s="4" t="n">
        <v>173</v>
      </c>
      <c r="L604" s="4" t="n">
        <v>52</v>
      </c>
      <c r="M604" s="5" t="n">
        <v>1.9</v>
      </c>
      <c r="N604" s="3" t="inlineStr">
        <is>
          <t>1</t>
        </is>
      </c>
      <c r="O604" s="3" t="inlineStr">
        <is>
          <t>-</t>
        </is>
      </c>
      <c r="P604" s="3" t="inlineStr">
        <is>
          <t>세종 전의면 저렴한 1종근생 창고 임대대형차 진입 용이즉시입주</t>
        </is>
      </c>
      <c r="Q604" s="6">
        <f>HYPERLINK("https://fin.land.naver.com/articles/2653952115", "매물Link")</f>
        <v/>
      </c>
      <c r="R604" s="6">
        <f>HYPERLINK("https://map.naver.com/p/search/전의면 유천리 303-22", "지도Link")</f>
        <v/>
      </c>
      <c r="S604" s="6">
        <f>HYPERLINK("http://www.eum.go.kr/web/ar/lu/luLandDet.jsp?pnu=3611037026103030022&amp;isNoScr=script&amp;mode=search", "토지이음")</f>
        <v/>
      </c>
      <c r="T604" s="3" t="inlineStr">
        <is>
          <t>고르다</t>
        </is>
      </c>
      <c r="U604" s="4" t="n">
        <v>1</v>
      </c>
      <c r="V604" s="5" t="n">
        <v>36.6</v>
      </c>
      <c r="W604" s="4" t="n">
        <v>1470</v>
      </c>
      <c r="X604" s="3" t="inlineStr">
        <is>
          <t>주건축물제1동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제1종근생</t>
        </is>
      </c>
      <c r="AB604" s="3" t="inlineStr">
        <is>
          <t>7.69m</t>
        </is>
      </c>
      <c r="AC604" s="3" t="inlineStr">
        <is>
          <t>2022-04</t>
        </is>
      </c>
      <c r="AD604" s="3" t="inlineStr">
        <is>
          <t>소로한면</t>
        </is>
      </c>
    </row>
    <row r="605">
      <c r="A605" s="3" t="inlineStr">
        <is>
          <t>전의면 유천리 537-16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3000</v>
      </c>
      <c r="G605" s="4" t="n">
        <v>350</v>
      </c>
      <c r="H605" s="4" t="n">
        <v>1246</v>
      </c>
      <c r="I605" s="4" t="n">
        <v>377</v>
      </c>
      <c r="J605" s="5" t="n">
        <v>0.9</v>
      </c>
      <c r="K605" s="4" t="n">
        <v>472</v>
      </c>
      <c r="L605" s="4" t="n">
        <v>143</v>
      </c>
      <c r="M605" s="5" t="n">
        <v>2.4</v>
      </c>
      <c r="N605" s="3" t="inlineStr">
        <is>
          <t>1</t>
        </is>
      </c>
      <c r="O605" s="3" t="inlineStr">
        <is>
          <t>-</t>
        </is>
      </c>
      <c r="P605" s="3" t="inlineStr">
        <is>
          <t>nan</t>
        </is>
      </c>
      <c r="Q605" s="6">
        <f>HYPERLINK("https://fin.land.naver.com/articles/2656199666", "매물Link")</f>
        <v/>
      </c>
      <c r="R605" s="6">
        <f>HYPERLINK("https://map.naver.com/p/search/전의면 유천리 537-16", "지도Link")</f>
        <v/>
      </c>
      <c r="S605" s="6">
        <f>HYPERLINK("http://www.eum.go.kr/web/ar/lu/luLandDet.jsp?pnu=3611037026105370016&amp;isNoScr=script&amp;mode=search", "토지이음")</f>
        <v/>
      </c>
      <c r="T605" s="3" t="inlineStr">
        <is>
          <t>북세종</t>
        </is>
      </c>
      <c r="U605" s="4" t="n">
        <v>2</v>
      </c>
      <c r="V605" s="5" t="n">
        <v>108.6</v>
      </c>
      <c r="W605" s="4" t="n">
        <v>1246</v>
      </c>
      <c r="X605" s="3" t="inlineStr">
        <is>
          <t>주1동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9.9m</t>
        </is>
      </c>
      <c r="AC605" s="3" t="inlineStr">
        <is>
          <t>2016-10</t>
        </is>
      </c>
      <c r="AD605" s="3" t="inlineStr">
        <is>
          <t>세로한면(가)</t>
        </is>
      </c>
    </row>
    <row r="606">
      <c r="A606" s="3" t="inlineStr">
        <is>
          <t>전의면 유천리 537-16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350</v>
      </c>
      <c r="H606" s="4" t="n">
        <v>1246</v>
      </c>
      <c r="I606" s="4" t="n">
        <v>377</v>
      </c>
      <c r="J606" s="5" t="n">
        <v>0.9</v>
      </c>
      <c r="K606" s="4" t="n">
        <v>474</v>
      </c>
      <c r="L606" s="4" t="n">
        <v>143</v>
      </c>
      <c r="M606" s="5" t="n">
        <v>2.4</v>
      </c>
      <c r="N606" s="3" t="inlineStr">
        <is>
          <t>1</t>
        </is>
      </c>
      <c r="O606" s="3" t="inlineStr">
        <is>
          <t>-</t>
        </is>
      </c>
      <c r="P606" s="3" t="inlineStr">
        <is>
          <t>공장임대</t>
        </is>
      </c>
      <c r="Q606" s="6">
        <f>HYPERLINK("https://fin.land.naver.com/articles/2652599291", "매물Link")</f>
        <v/>
      </c>
      <c r="R606" s="6">
        <f>HYPERLINK("https://map.naver.com/p/search/전의면 유천리 537-16", "지도Link")</f>
        <v/>
      </c>
      <c r="S606" s="6">
        <f>HYPERLINK("http://www.eum.go.kr/web/ar/lu/luLandDet.jsp?pnu=3611037026105370016&amp;isNoScr=script&amp;mode=search", "토지이음")</f>
        <v/>
      </c>
      <c r="T606" s="3" t="inlineStr">
        <is>
          <t>김준희</t>
        </is>
      </c>
      <c r="U606" s="4" t="n">
        <v>1</v>
      </c>
      <c r="V606" s="5" t="n">
        <v>108.6</v>
      </c>
      <c r="W606" s="4" t="n">
        <v>1246</v>
      </c>
      <c r="X606" s="3" t="inlineStr">
        <is>
          <t>주1동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9.9m</t>
        </is>
      </c>
      <c r="AC606" s="3" t="inlineStr">
        <is>
          <t>2016-10</t>
        </is>
      </c>
      <c r="AD606" s="3" t="inlineStr">
        <is>
          <t>세로한면(가)</t>
        </is>
      </c>
    </row>
    <row r="607">
      <c r="A607" s="3" t="inlineStr">
        <is>
          <t>전의면 유천리 537-16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350</v>
      </c>
      <c r="H607" s="4" t="n">
        <v>1246</v>
      </c>
      <c r="I607" s="4" t="n">
        <v>377</v>
      </c>
      <c r="J607" s="5" t="n">
        <v>0.9</v>
      </c>
      <c r="K607" s="4" t="n">
        <v>474</v>
      </c>
      <c r="L607" s="4" t="n">
        <v>143</v>
      </c>
      <c r="M607" s="5" t="n">
        <v>2.4</v>
      </c>
      <c r="N607" s="3" t="inlineStr">
        <is>
          <t>1</t>
        </is>
      </c>
      <c r="O607" s="3" t="inlineStr">
        <is>
          <t>-</t>
        </is>
      </c>
      <c r="P607" s="3" t="inlineStr">
        <is>
          <t>단독 공장 창고 제조업 2종근생 임대</t>
        </is>
      </c>
      <c r="Q607" s="6">
        <f>HYPERLINK("https://fin.land.naver.com/articles/2651733829", "매물Link")</f>
        <v/>
      </c>
      <c r="R607" s="6">
        <f>HYPERLINK("https://map.naver.com/p/search/전의면 유천리 537-16", "지도Link")</f>
        <v/>
      </c>
      <c r="S607" s="6">
        <f>HYPERLINK("http://www.eum.go.kr/web/ar/lu/luLandDet.jsp?pnu=3611037026105370016&amp;isNoScr=script&amp;mode=search",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108.6</v>
      </c>
      <c r="W607" s="4" t="n">
        <v>1246</v>
      </c>
      <c r="X607" s="3" t="inlineStr">
        <is>
          <t>주1동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9.9m</t>
        </is>
      </c>
      <c r="AC607" s="3" t="inlineStr">
        <is>
          <t>2016-10</t>
        </is>
      </c>
      <c r="AD607" s="3" t="inlineStr">
        <is>
          <t>세로한면(가)</t>
        </is>
      </c>
    </row>
    <row r="608">
      <c r="A608" s="3" t="inlineStr">
        <is>
          <t>전의면 읍내리 315-20</t>
        </is>
      </c>
      <c r="B608" s="3" t="inlineStr">
        <is>
          <t>보전관리지역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400000</v>
      </c>
      <c r="G608" s="4" t="n">
        <v>0</v>
      </c>
      <c r="H608" s="4" t="n">
        <v>4035</v>
      </c>
      <c r="I608" s="4" t="n">
        <v>1221</v>
      </c>
      <c r="J608" s="5" t="n">
        <v>327.6</v>
      </c>
      <c r="K608" s="4" t="n">
        <v>1728</v>
      </c>
      <c r="L608" s="4" t="n">
        <v>523</v>
      </c>
      <c r="M608" s="5" t="n">
        <v>764.8</v>
      </c>
      <c r="N608" s="3" t="inlineStr">
        <is>
          <t>2</t>
        </is>
      </c>
      <c r="O608" s="3" t="inlineStr">
        <is>
          <t>-</t>
        </is>
      </c>
      <c r="P608" s="3" t="inlineStr">
        <is>
          <t>위치좋고 도로접한 창고 및 사무실 숙소</t>
        </is>
      </c>
      <c r="Q608" s="6">
        <f>HYPERLINK("https://fin.land.naver.com/articles/2654544332", "매물Link")</f>
        <v/>
      </c>
      <c r="R608" s="6">
        <f>HYPERLINK("https://map.naver.com/p/search/전의면 읍내리 315-20", "지도Link")</f>
        <v/>
      </c>
      <c r="S608" s="6">
        <f>HYPERLINK("http://www.eum.go.kr/web/ar/lu/luLandDet.jsp?pnu=3611037021103150020&amp;isNoScr=script&amp;mode=search", "토지이음")</f>
        <v/>
      </c>
      <c r="T608" s="3" t="inlineStr">
        <is>
          <t>세종나라</t>
        </is>
      </c>
      <c r="U608" s="4" t="n">
        <v>1</v>
      </c>
      <c r="V608" s="5" t="n">
        <v>76.40000000000001</v>
      </c>
      <c r="W608" s="4" t="n">
        <v>4028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창고시설</t>
        </is>
      </c>
      <c r="AB608" s="3" t="inlineStr">
        <is>
          <t>9.47m</t>
        </is>
      </c>
      <c r="AC608" s="3" t="inlineStr">
        <is>
          <t>2007-12</t>
        </is>
      </c>
      <c r="AD608" s="3" t="inlineStr">
        <is>
          <t>소로한면</t>
        </is>
      </c>
    </row>
    <row r="609">
      <c r="A609" s="3" t="inlineStr">
        <is>
          <t>조치원읍 서창리 202-5</t>
        </is>
      </c>
      <c r="B609" s="3" t="inlineStr">
        <is>
          <t>제1종일반주거지역</t>
        </is>
      </c>
      <c r="C609" s="3" t="inlineStr">
        <is>
          <t>대</t>
        </is>
      </c>
      <c r="D609" s="3" t="inlineStr">
        <is>
          <t>창고</t>
        </is>
      </c>
      <c r="E609" s="3" t="inlineStr">
        <is>
          <t>매매</t>
        </is>
      </c>
      <c r="F609" s="4" t="n">
        <v>140000</v>
      </c>
      <c r="G609" s="4" t="n">
        <v>0</v>
      </c>
      <c r="H609" s="4" t="n">
        <v>666</v>
      </c>
      <c r="I609" s="4" t="n">
        <v>201</v>
      </c>
      <c r="J609" s="5" t="n">
        <v>696.5</v>
      </c>
      <c r="K609" s="4" t="n">
        <v>397</v>
      </c>
      <c r="L609" s="4" t="n">
        <v>120</v>
      </c>
      <c r="M609" s="5" t="n">
        <v>1166.7</v>
      </c>
      <c r="N609" s="3" t="inlineStr">
        <is>
          <t>2</t>
        </is>
      </c>
      <c r="O609" s="3" t="inlineStr">
        <is>
          <t>-</t>
        </is>
      </c>
      <c r="P609" s="3" t="inlineStr">
        <is>
          <t>단독사용  2종근생  하수 직관  근생 창고 매매</t>
        </is>
      </c>
      <c r="Q609" s="6">
        <f>HYPERLINK("https://fin.land.naver.com/articles/2651733853", "매물Link")</f>
        <v/>
      </c>
      <c r="R609" s="6">
        <f>HYPERLINK("https://map.naver.com/p/search/조치원읍 서창리 202-5", "지도Link")</f>
        <v/>
      </c>
      <c r="S609" s="6">
        <f>HYPERLINK("http://www.eum.go.kr/web/ar/lu/luLandDet.jsp?pnu=3611025034102020005&amp;isNoScr=script&amp;mode=search", "토지이음")</f>
        <v/>
      </c>
      <c r="T609" s="3" t="inlineStr">
        <is>
          <t>THE행복</t>
        </is>
      </c>
      <c r="U609" s="4" t="n">
        <v>1</v>
      </c>
      <c r="V609" s="5" t="n">
        <v>344.8</v>
      </c>
      <c r="W609" s="4" t="n">
        <v>666</v>
      </c>
      <c r="X609" s="3" t="inlineStr">
        <is>
          <t>주건축물제1동</t>
        </is>
      </c>
      <c r="Y609" s="7" t="inlineStr">
        <is>
          <t>2층</t>
        </is>
      </c>
      <c r="Z609" s="3" t="inlineStr">
        <is>
          <t>일반철골구조</t>
        </is>
      </c>
      <c r="AA609" s="3" t="inlineStr">
        <is>
          <t>제2종근생</t>
        </is>
      </c>
      <c r="AB609" s="3" t="inlineStr">
        <is>
          <t>6.35m</t>
        </is>
      </c>
      <c r="AC609" s="3" t="inlineStr">
        <is>
          <t>2015-11</t>
        </is>
      </c>
      <c r="AD609" s="3" t="inlineStr">
        <is>
          <t>중로한면</t>
        </is>
      </c>
    </row>
    <row r="610">
      <c r="A610" s="3" t="inlineStr">
        <is>
          <t>조치원읍 서창리 202-5</t>
        </is>
      </c>
      <c r="B610" s="3" t="inlineStr">
        <is>
          <t>제1종일반주거지역</t>
        </is>
      </c>
      <c r="C610" s="3" t="inlineStr">
        <is>
          <t>대</t>
        </is>
      </c>
      <c r="D610" s="3" t="inlineStr">
        <is>
          <t>창고</t>
        </is>
      </c>
      <c r="E610" s="3" t="inlineStr">
        <is>
          <t>매매</t>
        </is>
      </c>
      <c r="F610" s="4" t="n">
        <v>140000</v>
      </c>
      <c r="G610" s="4" t="n">
        <v>0</v>
      </c>
      <c r="H610" s="4" t="n">
        <v>673</v>
      </c>
      <c r="I610" s="4" t="n">
        <v>204</v>
      </c>
      <c r="J610" s="5" t="n">
        <v>686.3</v>
      </c>
      <c r="K610" s="4" t="n">
        <v>397</v>
      </c>
      <c r="L610" s="4" t="n">
        <v>120</v>
      </c>
      <c r="M610" s="5" t="n">
        <v>1166.7</v>
      </c>
      <c r="N610" s="3" t="inlineStr">
        <is>
          <t>2</t>
        </is>
      </c>
      <c r="O610" s="3" t="inlineStr">
        <is>
          <t>-</t>
        </is>
      </c>
      <c r="P610" s="3" t="inlineStr">
        <is>
          <t>조치원 시내 4차선 도로변 사무실 완비된 컨디션 좋은 창고 매매</t>
        </is>
      </c>
      <c r="Q610" s="6">
        <f>HYPERLINK("https://fin.land.naver.com/articles/2654666015", "매물Link")</f>
        <v/>
      </c>
      <c r="R610" s="6">
        <f>HYPERLINK("https://map.naver.com/p/search/조치원읍 서창리 202-5", "지도Link")</f>
        <v/>
      </c>
      <c r="S610" s="6">
        <f>HYPERLINK("http://www.eum.go.kr/web/ar/lu/luLandDet.jsp?pnu=3611025034102020005&amp;isNoScr=script&amp;mode=search", "토지이음")</f>
        <v/>
      </c>
      <c r="T610" s="3" t="inlineStr">
        <is>
          <t>청담</t>
        </is>
      </c>
      <c r="U610" s="4" t="n">
        <v>1</v>
      </c>
      <c r="V610" s="5" t="n">
        <v>344.8</v>
      </c>
      <c r="W610" s="4" t="n">
        <v>666</v>
      </c>
      <c r="X610" s="3" t="inlineStr">
        <is>
          <t>주건축물제1동</t>
        </is>
      </c>
      <c r="Y610" s="7" t="inlineStr">
        <is>
          <t>2층</t>
        </is>
      </c>
      <c r="Z610" s="3" t="inlineStr">
        <is>
          <t>일반철골구조</t>
        </is>
      </c>
      <c r="AA610" s="3" t="inlineStr">
        <is>
          <t>제2종근생</t>
        </is>
      </c>
      <c r="AB610" s="3" t="inlineStr">
        <is>
          <t>6.35m</t>
        </is>
      </c>
      <c r="AC610" s="3" t="inlineStr">
        <is>
          <t>2015-11</t>
        </is>
      </c>
      <c r="AD610" s="3" t="inlineStr">
        <is>
          <t>중로한면</t>
        </is>
      </c>
    </row>
    <row r="611">
      <c r="A611" s="3" t="inlineStr">
        <is>
          <t>집현동 1106</t>
        </is>
      </c>
      <c r="B611" s="3" t="inlineStr">
        <is>
          <t>준주거지역</t>
        </is>
      </c>
      <c r="C611" s="3" t="inlineStr">
        <is>
          <t>대</t>
        </is>
      </c>
      <c r="D611" s="3" t="inlineStr">
        <is>
          <t>공장</t>
        </is>
      </c>
      <c r="E611" s="3" t="inlineStr">
        <is>
          <t>월세</t>
        </is>
      </c>
      <c r="F611" s="4" t="n">
        <v>20000</v>
      </c>
      <c r="G611" s="4" t="n">
        <v>1500</v>
      </c>
      <c r="H611" s="4" t="n">
        <v>1915</v>
      </c>
      <c r="I611" s="4" t="n">
        <v>579</v>
      </c>
      <c r="J611" s="5" t="n">
        <v>2.6</v>
      </c>
      <c r="K611" s="4" t="n">
        <v>2130</v>
      </c>
      <c r="L611" s="4" t="n">
        <v>644</v>
      </c>
      <c r="M611" s="5" t="n">
        <v>2.3</v>
      </c>
      <c r="N611" s="3" t="inlineStr">
        <is>
          <t>4</t>
        </is>
      </c>
      <c r="O611" s="3" t="inlineStr">
        <is>
          <t>-</t>
        </is>
      </c>
      <c r="P611" s="3" t="inlineStr">
        <is>
          <t>건물통임대, 공장임대 각 층별 임대가능</t>
        </is>
      </c>
      <c r="Q611" s="6">
        <f>HYPERLINK("https://fin.land.naver.com/articles/2656641805", "매물Link")</f>
        <v/>
      </c>
      <c r="R611" s="6">
        <f>HYPERLINK("https://map.naver.com/p/search/집현동 1106", "지도Link")</f>
        <v/>
      </c>
      <c r="S611" s="6">
        <f>HYPERLINK("http://www.eum.go.kr/web/ar/lu/luLandDet.jsp?pnu=3611011800111060000&amp;isNoScr=script&amp;mode=search", "토지이음")</f>
        <v/>
      </c>
      <c r="T611" s="3" t="inlineStr">
        <is>
          <t>국제</t>
        </is>
      </c>
      <c r="U611" s="4" t="n">
        <v>1</v>
      </c>
      <c r="V611" s="5" t="n">
        <v>232.5</v>
      </c>
      <c r="W611" s="4" t="n">
        <v>1916.1</v>
      </c>
      <c r="X611" s="3" t="inlineStr">
        <is>
          <t>주 1동</t>
        </is>
      </c>
      <c r="Y611" s="7" t="inlineStr">
        <is>
          <t>4층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17.7m</t>
        </is>
      </c>
      <c r="AC611" s="3" t="inlineStr">
        <is>
          <t>2024-12</t>
        </is>
      </c>
      <c r="AD611" s="3" t="inlineStr">
        <is>
          <t>중로각지</t>
        </is>
      </c>
    </row>
    <row r="612">
      <c r="A612" s="3" t="inlineStr">
        <is>
          <t>집현동 1132</t>
        </is>
      </c>
      <c r="B612" s="3" t="inlineStr">
        <is>
          <t>준주거지역</t>
        </is>
      </c>
      <c r="C612" s="3" t="inlineStr">
        <is>
          <t>대</t>
        </is>
      </c>
      <c r="D612" s="3" t="inlineStr">
        <is>
          <t>기타</t>
        </is>
      </c>
      <c r="E612" s="3" t="inlineStr">
        <is>
          <t>매매</t>
        </is>
      </c>
      <c r="F612" s="4" t="n">
        <v>2070000</v>
      </c>
      <c r="G612" s="4" t="n">
        <v>0</v>
      </c>
      <c r="H612" s="4" t="n">
        <v>2543</v>
      </c>
      <c r="I612" s="4" t="n">
        <v>769</v>
      </c>
      <c r="J612" s="5" t="n">
        <v>2691.8</v>
      </c>
      <c r="K612" s="4" t="n">
        <v>6273</v>
      </c>
      <c r="L612" s="4" t="n">
        <v>1898</v>
      </c>
      <c r="M612" s="5" t="n">
        <v>1090.6</v>
      </c>
      <c r="N612" s="3" t="inlineStr">
        <is>
          <t>7</t>
        </is>
      </c>
      <c r="O612" s="3" t="inlineStr">
        <is>
          <t>B2</t>
        </is>
      </c>
      <c r="P612" s="3" t="inlineStr">
        <is>
          <t>세종 신축 사옥 매매</t>
        </is>
      </c>
      <c r="Q612" s="6">
        <f>HYPERLINK("https://fin.land.naver.com/articles/2656277199", "매물Link")</f>
        <v/>
      </c>
      <c r="R612" s="6">
        <f>HYPERLINK("https://map.naver.com/p/search/집현동 1132", "지도Link")</f>
        <v/>
      </c>
      <c r="S612" s="6">
        <f>HYPERLINK("http://www.eum.go.kr/web/ar/lu/luLandDet.jsp?pnu=3611011800111320000&amp;isNoScr=script&amp;mode=search", "토지이음")</f>
        <v/>
      </c>
      <c r="T612" s="3" t="inlineStr">
        <is>
          <t>공장전문주식회사</t>
        </is>
      </c>
      <c r="U612" s="4" t="n">
        <v>1</v>
      </c>
      <c r="V612" s="5" t="n">
        <v>225.2</v>
      </c>
      <c r="W612" s="4" t="n">
        <v>2542.1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중로각지</t>
        </is>
      </c>
    </row>
    <row r="613">
      <c r="A613" s="3" t="inlineStr">
        <is>
          <t>현도면 매봉리 269-1</t>
        </is>
      </c>
      <c r="B613" s="3" t="inlineStr">
        <is>
          <t>제2종일반주거지역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420000</v>
      </c>
      <c r="G613" s="4" t="n">
        <v>0</v>
      </c>
      <c r="H613" s="4" t="n">
        <v>3240</v>
      </c>
      <c r="I613" s="4" t="n">
        <v>980</v>
      </c>
      <c r="J613" s="5" t="n">
        <v>428.6</v>
      </c>
      <c r="K613" s="4" t="n">
        <v>812</v>
      </c>
      <c r="L613" s="4" t="n">
        <v>246</v>
      </c>
      <c r="M613" s="5" t="n">
        <v>1707.3</v>
      </c>
      <c r="N613" s="3" t="inlineStr">
        <is>
          <t>2</t>
        </is>
      </c>
      <c r="O613" s="3" t="inlineStr">
        <is>
          <t>-</t>
        </is>
      </c>
      <c r="P613" s="3" t="inlineStr">
        <is>
          <t>층고8m 전력18kw 호이스트3톤 경부고속도로옆 6차선대로변인근</t>
        </is>
      </c>
      <c r="Q613" s="6">
        <f>HYPERLINK("https://fin.land.naver.com/articles/2653347378", "매물Link")</f>
        <v/>
      </c>
      <c r="R613" s="6">
        <f>HYPERLINK("https://map.naver.com/p/search/현도면 매봉리 269-1", "지도Link")</f>
        <v/>
      </c>
      <c r="S613" s="6">
        <f>HYPERLINK("http://www.eum.go.kr/web/ar/lu/luLandDet.jsp?pnu=4311232032102690001&amp;isNoScr=script&amp;mode=search", "토지이음")</f>
        <v/>
      </c>
      <c r="T613" s="3" t="inlineStr">
        <is>
          <t>에이피엔주식회사</t>
        </is>
      </c>
      <c r="U613" s="4" t="n">
        <v>1</v>
      </c>
      <c r="V613" s="5" t="n">
        <v>84.90000000000001</v>
      </c>
      <c r="W613" s="4" t="n">
        <v>1479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5160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단독공장  대형차량 진입가능  민원없는곳</t>
        </is>
      </c>
      <c r="Q614" s="6">
        <f>HYPERLINK("https://fin.land.naver.com/articles/2651774105",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대박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남청주IC 인근 단독으로 사용하는 대형공장임대 진출입용이</t>
        </is>
      </c>
      <c r="Q615" s="6">
        <f>HYPERLINK("https://fin.land.naver.com/articles/2651993511",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태광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210-2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10000</v>
      </c>
      <c r="G616" s="4" t="n">
        <v>780</v>
      </c>
      <c r="H616" s="4" t="n">
        <v>7287</v>
      </c>
      <c r="I616" s="4" t="n">
        <v>2204</v>
      </c>
      <c r="J616" s="5" t="n">
        <v>0.4</v>
      </c>
      <c r="K616" s="4" t="n">
        <v>1039</v>
      </c>
      <c r="L616" s="4" t="n">
        <v>314</v>
      </c>
      <c r="M616" s="5" t="n">
        <v>2.5</v>
      </c>
      <c r="N616" s="3" t="inlineStr">
        <is>
          <t>1</t>
        </is>
      </c>
      <c r="O616" s="3" t="inlineStr">
        <is>
          <t>-</t>
        </is>
      </c>
      <c r="P616" s="3" t="inlineStr">
        <is>
          <t>사진有 공장 임대</t>
        </is>
      </c>
      <c r="Q616" s="6">
        <f>HYPERLINK("https://fin.land.naver.com/articles/2652988736", "매물Link")</f>
        <v/>
      </c>
      <c r="R616" s="6">
        <f>HYPERLINK("https://map.naver.com/p/search/현도면 상삼리 210-2", "지도Link")</f>
        <v/>
      </c>
      <c r="S616" s="6">
        <f>HYPERLINK("http://www.eum.go.kr/web/ar/lu/luLandDet.jsp?pnu=4311232021102100002&amp;isNoScr=script&amp;mode=search", "토지이음")</f>
        <v/>
      </c>
      <c r="T616" s="3" t="inlineStr">
        <is>
          <t>월드</t>
        </is>
      </c>
      <c r="U616" s="4" t="n">
        <v>1</v>
      </c>
      <c r="V616" s="5" t="n">
        <v>63.5</v>
      </c>
      <c r="W616" s="4" t="n">
        <v>5159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상삼리 210-2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10000</v>
      </c>
      <c r="G617" s="4" t="n">
        <v>780</v>
      </c>
      <c r="H617" s="4" t="n">
        <v>5159</v>
      </c>
      <c r="I617" s="4" t="n">
        <v>1561</v>
      </c>
      <c r="J617" s="5" t="n">
        <v>0.5</v>
      </c>
      <c r="K617" s="4" t="n">
        <v>1039</v>
      </c>
      <c r="L617" s="4" t="n">
        <v>314</v>
      </c>
      <c r="M617" s="5" t="n">
        <v>2.5</v>
      </c>
      <c r="N617" s="3" t="inlineStr">
        <is>
          <t>1</t>
        </is>
      </c>
      <c r="O617" s="3" t="inlineStr">
        <is>
          <t>-</t>
        </is>
      </c>
      <c r="P617" s="3" t="inlineStr">
        <is>
          <t>남청주ic인접 야적장넓은 단독공장 도크시설있고 대형차 진출입용이</t>
        </is>
      </c>
      <c r="Q617" s="6">
        <f>HYPERLINK("https://fin.land.naver.com/articles/2650940963", "매물Link")</f>
        <v/>
      </c>
      <c r="R617" s="6">
        <f>HYPERLINK("https://map.naver.com/p/search/현도면 상삼리 210-2", "지도Link")</f>
        <v/>
      </c>
      <c r="S617" s="6">
        <f>HYPERLINK("http://www.eum.go.kr/web/ar/lu/luLandDet.jsp?pnu=4311232021102100002&amp;isNoScr=script&amp;mode=search", "토지이음")</f>
        <v/>
      </c>
      <c r="T617" s="3" t="inlineStr">
        <is>
          <t>더원</t>
        </is>
      </c>
      <c r="U617" s="4" t="n">
        <v>1</v>
      </c>
      <c r="V617" s="5" t="n">
        <v>63.5</v>
      </c>
      <c r="W617" s="4" t="n">
        <v>5159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상삼리 210-2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10000</v>
      </c>
      <c r="G618" s="4" t="n">
        <v>780</v>
      </c>
      <c r="H618" s="4" t="n">
        <v>5159</v>
      </c>
      <c r="I618" s="4" t="n">
        <v>1561</v>
      </c>
      <c r="J618" s="5" t="n">
        <v>0.5</v>
      </c>
      <c r="K618" s="4" t="n">
        <v>1039</v>
      </c>
      <c r="L618" s="4" t="n">
        <v>314</v>
      </c>
      <c r="M618" s="5" t="n">
        <v>2.5</v>
      </c>
      <c r="N618" s="3" t="inlineStr">
        <is>
          <t>1</t>
        </is>
      </c>
      <c r="O618" s="3" t="inlineStr">
        <is>
          <t>-</t>
        </is>
      </c>
      <c r="P618" s="3" t="inlineStr">
        <is>
          <t>마당 넓은 단독 공장 도크 시설 있어 물류창고 추천 대형 공장 및 창고</t>
        </is>
      </c>
      <c r="Q618" s="6">
        <f>HYPERLINK("https://fin.land.naver.com/articles/2650885089", "매물Link")</f>
        <v/>
      </c>
      <c r="R618" s="6">
        <f>HYPERLINK("https://map.naver.com/p/search/현도면 상삼리 210-2", "지도Link")</f>
        <v/>
      </c>
      <c r="S618" s="6">
        <f>HYPERLINK("http://www.eum.go.kr/web/ar/lu/luLandDet.jsp?pnu=4311232021102100002&amp;isNoScr=script&amp;mode=search",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63.5</v>
      </c>
      <c r="W618" s="4" t="n">
        <v>5159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상삼리 218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1800000</v>
      </c>
      <c r="G619" s="4" t="n">
        <v>0</v>
      </c>
      <c r="H619" s="4" t="n">
        <v>23949</v>
      </c>
      <c r="I619" s="4" t="n">
        <v>7245</v>
      </c>
      <c r="J619" s="5" t="n">
        <v>248.4</v>
      </c>
      <c r="K619" s="4" t="n">
        <v>6717</v>
      </c>
      <c r="L619" s="4" t="n">
        <v>2032</v>
      </c>
      <c r="M619" s="5" t="n">
        <v>885.8</v>
      </c>
      <c r="N619" s="3" t="inlineStr">
        <is>
          <t>4</t>
        </is>
      </c>
      <c r="O619" s="3" t="inlineStr">
        <is>
          <t>-</t>
        </is>
      </c>
      <c r="P619" s="3" t="inlineStr">
        <is>
          <t>진입로 좋고 호이스트 설치완료된 공장입니다</t>
        </is>
      </c>
      <c r="Q619" s="6">
        <f>HYPERLINK("https://fin.land.naver.com/articles/2656281667", "매물Link")</f>
        <v/>
      </c>
      <c r="R619" s="6">
        <f>HYPERLINK("https://map.naver.com/p/search/현도면 상삼리 218", "지도Link")</f>
        <v/>
      </c>
      <c r="S619" s="6">
        <f>HYPERLINK("http://www.eum.go.kr/web/ar/lu/luLandDet.jsp?pnu=4311232021102180000&amp;isNoScr=script&amp;mode=search", "토지이음")</f>
        <v/>
      </c>
      <c r="T619" s="3" t="inlineStr">
        <is>
          <t>복댕이</t>
        </is>
      </c>
      <c r="U619" s="4" t="n">
        <v>1</v>
      </c>
      <c r="V619" s="5" t="n">
        <v>69.8</v>
      </c>
      <c r="W619" s="4" t="n">
        <v>774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324-1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100000</v>
      </c>
      <c r="G620" s="4" t="n">
        <v>0</v>
      </c>
      <c r="H620" s="4" t="n">
        <v>1120</v>
      </c>
      <c r="I620" s="4" t="n">
        <v>339</v>
      </c>
      <c r="J620" s="5" t="n">
        <v>295</v>
      </c>
      <c r="K620" s="4" t="n">
        <v>629</v>
      </c>
      <c r="L620" s="4" t="n">
        <v>190</v>
      </c>
      <c r="M620" s="5" t="n">
        <v>526.3</v>
      </c>
      <c r="N620" s="3" t="inlineStr">
        <is>
          <t>1</t>
        </is>
      </c>
      <c r="O620" s="3" t="inlineStr">
        <is>
          <t>-</t>
        </is>
      </c>
      <c r="P620" s="3" t="inlineStr">
        <is>
          <t>식품가공업 공장,남청주IC 와 가까운곳으로 진출입이 편리한곳,계획관리지역</t>
        </is>
      </c>
      <c r="Q620" s="6">
        <f>HYPERLINK("https://fin.land.naver.com/articles/2652906004", "매물Link")</f>
        <v/>
      </c>
      <c r="R620" s="6">
        <f>HYPERLINK("https://map.naver.com/p/search/현도면 상삼리 324-1", "지도Link")</f>
        <v/>
      </c>
      <c r="S620" s="6">
        <f>HYPERLINK("http://www.eum.go.kr/web/ar/lu/luLandDet.jsp?pnu=4311232021103240001&amp;isNoScr=script&amp;mode=search", "토지이음")</f>
        <v/>
      </c>
      <c r="T620" s="3" t="inlineStr">
        <is>
          <t>금화랜드</t>
        </is>
      </c>
      <c r="U620" s="4" t="n">
        <v>2</v>
      </c>
      <c r="V620" s="5" t="n">
        <v>65.8</v>
      </c>
      <c r="W620" s="4" t="n">
        <v>1120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45-1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200000</v>
      </c>
      <c r="G621" s="4" t="n">
        <v>0</v>
      </c>
      <c r="H621" s="4" t="n">
        <v>1808</v>
      </c>
      <c r="I621" s="4" t="n">
        <v>547</v>
      </c>
      <c r="J621" s="5" t="n">
        <v>365.6</v>
      </c>
      <c r="K621" s="4" t="n">
        <v>848</v>
      </c>
      <c r="L621" s="4" t="n">
        <v>257</v>
      </c>
      <c r="M621" s="5" t="n">
        <v>778.2</v>
      </c>
      <c r="N621" s="3" t="inlineStr">
        <is>
          <t>2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HYPERLINK("https://fin.land.naver.com/articles/2653349651", "매물Link")</f>
        <v/>
      </c>
      <c r="R621" s="6">
        <f>HYPERLINK("https://map.naver.com/p/search/현도면 상삼리 45-1", "지도Link")</f>
        <v/>
      </c>
      <c r="S621" s="6">
        <f>HYPERLINK("http://www.eum.go.kr/web/ar/lu/luLandDet.jsp?pnu=4311232021100450001&amp;isNoScr=script&amp;mode=search", "토지이음")</f>
        <v/>
      </c>
      <c r="T621" s="3" t="inlineStr">
        <is>
          <t>다온팩토리</t>
        </is>
      </c>
      <c r="U621" s="4" t="n">
        <v>1</v>
      </c>
      <c r="V621" s="5" t="n">
        <v>65.8</v>
      </c>
      <c r="W621" s="4" t="n">
        <v>1808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50-1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3000</v>
      </c>
      <c r="G622" s="4" t="n">
        <v>280</v>
      </c>
      <c r="H622" s="4" t="n">
        <v>996</v>
      </c>
      <c r="I622" s="4" t="n">
        <v>301</v>
      </c>
      <c r="J622" s="5" t="n">
        <v>0.9</v>
      </c>
      <c r="K622" s="4" t="n">
        <v>396</v>
      </c>
      <c r="L622" s="4" t="n">
        <v>120</v>
      </c>
      <c r="M622" s="5" t="n">
        <v>2.3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좋고 노출효과 좋음 층고 높은 공장 창고</t>
        </is>
      </c>
      <c r="Q622" s="6">
        <f>HYPERLINK("https://fin.land.naver.com/articles/2655405780", "매물Link")</f>
        <v/>
      </c>
      <c r="R622" s="6">
        <f>HYPERLINK("https://map.naver.com/p/search/현도면 상삼리 50-1", "지도Link")</f>
        <v/>
      </c>
      <c r="S622" s="6">
        <f>HYPERLINK("http://www.eum.go.kr/web/ar/lu/luLandDet.jsp?pnu=4311232021100500001&amp;isNoScr=script&amp;mode=search",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69.2</v>
      </c>
      <c r="W622" s="4" t="n">
        <v>996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소로한면</t>
        </is>
      </c>
    </row>
    <row r="623">
      <c r="A623" s="3" t="inlineStr">
        <is>
          <t>현도면 상삼리 50-1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3000</v>
      </c>
      <c r="G623" s="4" t="n">
        <v>280</v>
      </c>
      <c r="H623" s="4" t="n">
        <v>996</v>
      </c>
      <c r="I623" s="4" t="n">
        <v>301</v>
      </c>
      <c r="J623" s="5" t="n">
        <v>0.9</v>
      </c>
      <c r="K623" s="4" t="n">
        <v>396</v>
      </c>
      <c r="L623" s="4" t="n">
        <v>120</v>
      </c>
      <c r="M623" s="5" t="n">
        <v>2.3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HYPERLINK("https://fin.land.naver.com/articles/2653328422", "매물Link")</f>
        <v/>
      </c>
      <c r="R623" s="6">
        <f>HYPERLINK("https://map.naver.com/p/search/현도면 상삼리 50-1", "지도Link")</f>
        <v/>
      </c>
      <c r="S623" s="6">
        <f>HYPERLINK("http://www.eum.go.kr/web/ar/lu/luLandDet.jsp?pnu=4311232021100500001&amp;isNoScr=script&amp;mode=search", "토지이음")</f>
        <v/>
      </c>
      <c r="T623" s="3" t="inlineStr">
        <is>
          <t>다온팩토리</t>
        </is>
      </c>
      <c r="U623" s="4" t="n">
        <v>1</v>
      </c>
      <c r="V623" s="5" t="n">
        <v>69.2</v>
      </c>
      <c r="W623" s="4" t="n">
        <v>996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소로한면</t>
        </is>
      </c>
    </row>
    <row r="624">
      <c r="A624" s="3" t="inlineStr">
        <is>
          <t>현도면 상삼리 50-1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280</v>
      </c>
      <c r="H624" s="4" t="n">
        <v>996</v>
      </c>
      <c r="I624" s="4" t="n">
        <v>301</v>
      </c>
      <c r="J624" s="5" t="n">
        <v>0.9</v>
      </c>
      <c r="K624" s="4" t="n">
        <v>396</v>
      </c>
      <c r="L624" s="4" t="n">
        <v>120</v>
      </c>
      <c r="M624" s="5" t="n">
        <v>2.3</v>
      </c>
      <c r="N624" s="3" t="inlineStr">
        <is>
          <t>1</t>
        </is>
      </c>
      <c r="O624" s="3" t="inlineStr">
        <is>
          <t>-</t>
        </is>
      </c>
      <c r="P624" s="3" t="inlineStr">
        <is>
          <t>실사진0k 층고8.5m 단독 근생창고 무권리 공장등록가능</t>
        </is>
      </c>
      <c r="Q624" s="6">
        <f>HYPERLINK("https://fin.land.naver.com/articles/2655034601", "매물Link")</f>
        <v/>
      </c>
      <c r="R624" s="6">
        <f>HYPERLINK("https://map.naver.com/p/search/현도면 상삼리 50-1", "지도Link")</f>
        <v/>
      </c>
      <c r="S624" s="6">
        <f>HYPERLINK("http://www.eum.go.kr/web/ar/lu/luLandDet.jsp?pnu=4311232021100500001&amp;isNoScr=script&amp;mode=search", "토지이음")</f>
        <v/>
      </c>
      <c r="T624" s="3" t="inlineStr">
        <is>
          <t>이음</t>
        </is>
      </c>
      <c r="U624" s="4" t="n">
        <v>1</v>
      </c>
      <c r="V624" s="5" t="n">
        <v>69.2</v>
      </c>
      <c r="W624" s="4" t="n">
        <v>996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소로한면</t>
        </is>
      </c>
    </row>
    <row r="625">
      <c r="A625" s="3" t="inlineStr">
        <is>
          <t>현도면 상삼리 67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2000</v>
      </c>
      <c r="G625" s="4" t="n">
        <v>150</v>
      </c>
      <c r="H625" s="4" t="n">
        <v>629</v>
      </c>
      <c r="I625" s="4" t="n">
        <v>190</v>
      </c>
      <c r="J625" s="5" t="n">
        <v>0.8</v>
      </c>
      <c r="K625" s="4" t="n">
        <v>249</v>
      </c>
      <c r="L625" s="4" t="n">
        <v>75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nan</t>
        </is>
      </c>
      <c r="Q625" s="6">
        <f>HYPERLINK("https://fin.land.naver.com/articles/2654621887", "매물Link")</f>
        <v/>
      </c>
      <c r="R625" s="6">
        <f>HYPERLINK("https://map.naver.com/p/search/현도면 상삼리 67", "지도Link")</f>
        <v/>
      </c>
      <c r="S625" s="6">
        <f>HYPERLINK("http://www.eum.go.kr/web/ar/lu/luLandDet.jsp?pnu=4311232021100670000&amp;isNoScr=script&amp;mode=search", "토지이음")</f>
        <v/>
      </c>
      <c r="T625" s="3" t="inlineStr">
        <is>
          <t>토담</t>
        </is>
      </c>
      <c r="U625" s="4" t="n">
        <v>1</v>
      </c>
      <c r="V625" s="5" t="n">
        <v>59.8</v>
      </c>
      <c r="W625" s="4" t="n">
        <v>629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상삼리 67-3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2000</v>
      </c>
      <c r="G626" s="4" t="n">
        <v>180</v>
      </c>
      <c r="H626" s="4" t="n">
        <v>1609</v>
      </c>
      <c r="I626" s="4" t="n">
        <v>487</v>
      </c>
      <c r="J626" s="5" t="n">
        <v>0.4</v>
      </c>
      <c r="K626" s="4" t="n">
        <v>294</v>
      </c>
      <c r="L626" s="4" t="n">
        <v>89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즉시 사용 가능 접근성 편리한 남청주 IC 인근 층고 높은 창고 임대</t>
        </is>
      </c>
      <c r="Q626" s="6">
        <f>HYPERLINK("https://fin.land.naver.com/articles/2652885980", "매물Link")</f>
        <v/>
      </c>
      <c r="R626" s="6">
        <f>HYPERLINK("https://map.naver.com/p/search/현도면 상삼리 67-3", "지도Link")</f>
        <v/>
      </c>
      <c r="S626" s="6">
        <f>HYPERLINK("http://www.eum.go.kr/web/ar/lu/luLandDet.jsp?pnu=4311232021100670003&amp;isNoScr=script&amp;mode=search",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59.8</v>
      </c>
      <c r="W626" s="4" t="n">
        <v>1591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상삼리 67-6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300</v>
      </c>
      <c r="H627" s="4" t="n">
        <v>1242</v>
      </c>
      <c r="I627" s="4" t="n">
        <v>376</v>
      </c>
      <c r="J627" s="5" t="n">
        <v>0.8</v>
      </c>
      <c r="K627" s="4" t="n">
        <v>493</v>
      </c>
      <c r="L627" s="4" t="n">
        <v>149</v>
      </c>
      <c r="M627" s="5" t="n">
        <v>2</v>
      </c>
      <c r="N627" s="3" t="inlineStr">
        <is>
          <t>1</t>
        </is>
      </c>
      <c r="O627" s="3" t="inlineStr">
        <is>
          <t>-</t>
        </is>
      </c>
      <c r="P627" s="3" t="inlineStr">
        <is>
          <t>남청주ic 4분 츄레라 진입 가능한 준신축 대형 창고</t>
        </is>
      </c>
      <c r="Q627" s="6">
        <f>HYPERLINK("https://fin.land.naver.com/articles/2654849028", "매물Link")</f>
        <v/>
      </c>
      <c r="R627" s="6">
        <f>HYPERLINK("https://map.naver.com/p/search/현도면 상삼리 67-6", "지도Link")</f>
        <v/>
      </c>
      <c r="S627" s="6">
        <f>HYPERLINK("http://www.eum.go.kr/web/ar/lu/luLandDet.jsp?pnu=4311232021100670006&amp;isNoScr=script&amp;mode=search", "토지이음")</f>
        <v/>
      </c>
      <c r="T627" s="3" t="inlineStr">
        <is>
          <t>KS</t>
        </is>
      </c>
      <c r="U627" s="4" t="n">
        <v>1</v>
      </c>
      <c r="V627" s="5" t="n">
        <v>59.8</v>
      </c>
      <c r="W627" s="4" t="n">
        <v>1242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시동리 369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20145</v>
      </c>
      <c r="I628" s="4" t="n">
        <v>6094</v>
      </c>
      <c r="J628" s="5" t="n">
        <v>164.1</v>
      </c>
      <c r="K628" s="4" t="n">
        <v>3278</v>
      </c>
      <c r="L628" s="4" t="n">
        <v>992</v>
      </c>
      <c r="M628" s="5" t="n">
        <v>1008.1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 인근,2차선 접한 공장,대지가 넓어 공장,물류센터로 추천,</t>
        </is>
      </c>
      <c r="Q628" s="6">
        <f>HYPERLINK("https://fin.land.naver.com/articles/2651575968", "매물Link")</f>
        <v/>
      </c>
      <c r="R628" s="6">
        <f>HYPERLINK("https://map.naver.com/p/search/현도면 시동리 369", "지도Link")</f>
        <v/>
      </c>
      <c r="S628" s="6">
        <f>HYPERLINK("http://www.eum.go.kr/web/ar/lu/luLandDet.jsp?pnu=4311232025103690000&amp;isNoScr=script&amp;mode=search",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62.5</v>
      </c>
      <c r="W628" s="4" t="n">
        <v>2484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소로한면</t>
        </is>
      </c>
    </row>
    <row r="629">
      <c r="A629" s="3" t="inlineStr">
        <is>
          <t>현도면 시동리 369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1000000</v>
      </c>
      <c r="G629" s="4" t="n">
        <v>0</v>
      </c>
      <c r="H629" s="4" t="n">
        <v>16743</v>
      </c>
      <c r="I629" s="4" t="n">
        <v>5065</v>
      </c>
      <c r="J629" s="5" t="n">
        <v>197.4</v>
      </c>
      <c r="K629" s="4" t="n">
        <v>10631</v>
      </c>
      <c r="L629" s="4" t="n">
        <v>3216</v>
      </c>
      <c r="M629" s="5" t="n">
        <v>310.9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 IC 인근 넓은 마당 및 대지가 넓은 대형 공장 창고 매매</t>
        </is>
      </c>
      <c r="Q629" s="6">
        <f>HYPERLINK("https://fin.land.naver.com/articles/2654969770", "매물Link")</f>
        <v/>
      </c>
      <c r="R629" s="6">
        <f>HYPERLINK("https://map.naver.com/p/search/현도면 시동리 369", "지도Link")</f>
        <v/>
      </c>
      <c r="S629" s="6">
        <f>HYPERLINK("http://www.eum.go.kr/web/ar/lu/luLandDet.jsp?pnu=4311232025103690000&amp;isNoScr=script&amp;mode=search", "토지이음")</f>
        <v/>
      </c>
      <c r="T629" s="3" t="inlineStr">
        <is>
          <t>대전토지로무소</t>
        </is>
      </c>
      <c r="U629" s="4" t="n">
        <v>1</v>
      </c>
      <c r="V629" s="5" t="n">
        <v>62.5</v>
      </c>
      <c r="W629" s="4" t="n">
        <v>2484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소로한면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 고속도로 옆 광고효과 가시성 좋은 물류창고 호이스트설치</t>
        </is>
      </c>
      <c r="Q630" s="6">
        <f>HYPERLINK("https://fin.land.naver.com/articles/2654184518",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1</t>
        </is>
      </c>
      <c r="O631" s="3" t="inlineStr">
        <is>
          <t>-</t>
        </is>
      </c>
      <c r="P631" s="3" t="inlineStr">
        <is>
          <t>경부고속도로 옆 광고효과최상 단독사용 호이스트2대 남청주ic 5분거리</t>
        </is>
      </c>
      <c r="Q631" s="6">
        <f>HYPERLINK("https://fin.land.naver.com/articles/2650948034",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500000</v>
      </c>
      <c r="G632" s="4" t="n">
        <v>0</v>
      </c>
      <c r="H632" s="4" t="n">
        <v>4954</v>
      </c>
      <c r="I632" s="4" t="n">
        <v>1499</v>
      </c>
      <c r="J632" s="5" t="n">
        <v>333.6</v>
      </c>
      <c r="K632" s="4" t="n">
        <v>3390</v>
      </c>
      <c r="L632" s="4" t="n">
        <v>1025</v>
      </c>
      <c r="M632" s="5" t="n">
        <v>487.8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HYPERLINK("https://fin.land.naver.com/articles/2655095778",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10000</v>
      </c>
      <c r="G633" s="4" t="n">
        <v>1000</v>
      </c>
      <c r="H633" s="4" t="n">
        <v>4954</v>
      </c>
      <c r="I633" s="4" t="n">
        <v>1499</v>
      </c>
      <c r="J633" s="5" t="n">
        <v>0.7</v>
      </c>
      <c r="K633" s="4" t="n">
        <v>1718</v>
      </c>
      <c r="L633" s="4" t="n">
        <v>520</v>
      </c>
      <c r="M633" s="5" t="n">
        <v>1.9</v>
      </c>
      <c r="N633" s="3" t="inlineStr">
        <is>
          <t>2</t>
        </is>
      </c>
      <c r="O633" s="3" t="inlineStr">
        <is>
          <t>-</t>
        </is>
      </c>
      <c r="P633" s="3" t="inlineStr">
        <is>
          <t>사진有 창고 임대</t>
        </is>
      </c>
      <c r="Q633" s="6">
        <f>HYPERLINK("https://fin.land.naver.com/articles/2652988720",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월드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4954</v>
      </c>
      <c r="I634" s="4" t="n">
        <v>1499</v>
      </c>
      <c r="J634" s="5" t="n">
        <v>0.7</v>
      </c>
      <c r="K634" s="4" t="n">
        <v>1718</v>
      </c>
      <c r="L634" s="4" t="n">
        <v>520</v>
      </c>
      <c r="M634" s="5" t="n">
        <v>1.9</v>
      </c>
      <c r="N634" s="3" t="inlineStr">
        <is>
          <t>2</t>
        </is>
      </c>
      <c r="O634" s="3" t="inlineStr">
        <is>
          <t>-</t>
        </is>
      </c>
      <c r="P634" s="3" t="inlineStr">
        <is>
          <t>고속도로 바로 옆에 위치하여 광고효과 좋고, 호이스트 설치된 창고</t>
        </is>
      </c>
      <c r="Q634" s="6">
        <f>HYPERLINK("https://fin.land.naver.com/articles/2654296576",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(주)미르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1500000</v>
      </c>
      <c r="G635" s="4" t="n">
        <v>0</v>
      </c>
      <c r="H635" s="4" t="n">
        <v>15907</v>
      </c>
      <c r="I635" s="4" t="n">
        <v>4812</v>
      </c>
      <c r="J635" s="5" t="n">
        <v>311.7</v>
      </c>
      <c r="K635" s="4" t="n">
        <v>10462</v>
      </c>
      <c r="L635" s="4" t="n">
        <v>3165</v>
      </c>
      <c r="M635" s="5" t="n">
        <v>473.9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HYPERLINK("https://fin.land.naver.com/articles/2654300805",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545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현도면의 대규모 물류창고 매매</t>
        </is>
      </c>
      <c r="Q636" s="6">
        <f>HYPERLINK("https://fin.land.naver.com/articles/2654660101", "매물Link")</f>
        <v/>
      </c>
      <c r="R636" s="6">
        <f>HYPERLINK("https://map.naver.com/p/search/현도면 우록리 545", "지도Link")</f>
        <v/>
      </c>
      <c r="S636" s="6">
        <f>HYPERLINK("http://www.eum.go.kr/web/ar/lu/luLandDet.jsp?pnu=4311232024105450000&amp;isNoScr=script&amp;mode=search", "토지이음")</f>
        <v/>
      </c>
      <c r="T636" s="3" t="inlineStr">
        <is>
          <t>금화랜드</t>
        </is>
      </c>
      <c r="U636" s="4" t="n">
        <v>1</v>
      </c>
      <c r="V636" s="5" t="n">
        <v>59.5</v>
      </c>
      <c r="W636" s="4" t="n">
        <v>4954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545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5600</v>
      </c>
      <c r="G637" s="4" t="n">
        <v>560</v>
      </c>
      <c r="H637" s="4" t="n">
        <v>4954</v>
      </c>
      <c r="I637" s="4" t="n">
        <v>1499</v>
      </c>
      <c r="J637" s="5" t="n">
        <v>0.4</v>
      </c>
      <c r="K637" s="4" t="n">
        <v>925</v>
      </c>
      <c r="L637" s="4" t="n">
        <v>280</v>
      </c>
      <c r="M637" s="5" t="n">
        <v>2</v>
      </c>
      <c r="N637" s="3" t="inlineStr">
        <is>
          <t>1</t>
        </is>
      </c>
      <c r="O637" s="3" t="inlineStr">
        <is>
          <t>-</t>
        </is>
      </c>
      <c r="P637" s="3" t="inlineStr">
        <is>
          <t>즉시 사용 가능 남청주 IC 인근 , 호이스트, 대형차 진출입 원활</t>
        </is>
      </c>
      <c r="Q637" s="6">
        <f>HYPERLINK("https://fin.land.naver.com/articles/2652174883", "매물Link")</f>
        <v/>
      </c>
      <c r="R637" s="6">
        <f>HYPERLINK("https://map.naver.com/p/search/현도면 우록리 545", "지도Link")</f>
        <v/>
      </c>
      <c r="S637" s="6">
        <f>HYPERLINK("http://www.eum.go.kr/web/ar/lu/luLandDet.jsp?pnu=4311232024105450000&amp;isNoScr=script&amp;mode=search",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59.5</v>
      </c>
      <c r="W637" s="4" t="n">
        <v>4954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545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500000</v>
      </c>
      <c r="G638" s="4" t="n">
        <v>0</v>
      </c>
      <c r="H638" s="4" t="n">
        <v>4954</v>
      </c>
      <c r="I638" s="4" t="n">
        <v>1499</v>
      </c>
      <c r="J638" s="5" t="n">
        <v>333.6</v>
      </c>
      <c r="K638" s="4" t="n">
        <v>3390</v>
      </c>
      <c r="L638" s="4" t="n">
        <v>1025</v>
      </c>
      <c r="M638" s="5" t="n">
        <v>487.8</v>
      </c>
      <c r="N638" s="3" t="inlineStr">
        <is>
          <t>1</t>
        </is>
      </c>
      <c r="O638" s="3" t="inlineStr">
        <is>
          <t>-</t>
        </is>
      </c>
      <c r="P638" s="3" t="inlineStr">
        <is>
          <t>고속도로 광고효과 좋은 대형 물류창고, 호이스트, 대형차 진출입 원활</t>
        </is>
      </c>
      <c r="Q638" s="6">
        <f>HYPERLINK("https://fin.land.naver.com/articles/2652882825", "매물Link")</f>
        <v/>
      </c>
      <c r="R638" s="6">
        <f>HYPERLINK("https://map.naver.com/p/search/현도면 우록리 545", "지도Link")</f>
        <v/>
      </c>
      <c r="S638" s="6">
        <f>HYPERLINK("http://www.eum.go.kr/web/ar/lu/luLandDet.jsp?pnu=4311232024105450000&amp;isNoScr=script&amp;mode=search",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59.5</v>
      </c>
      <c r="W638" s="4" t="n">
        <v>4954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6000</v>
      </c>
      <c r="G639" s="4" t="n">
        <v>600</v>
      </c>
      <c r="H639" s="4" t="n">
        <v>30294</v>
      </c>
      <c r="I639" s="4" t="n">
        <v>9164</v>
      </c>
      <c r="J639" s="5" t="n">
        <v>0.1</v>
      </c>
      <c r="K639" s="4" t="n">
        <v>925</v>
      </c>
      <c r="L639" s="4" t="n">
        <v>280</v>
      </c>
      <c r="M639" s="5" t="n">
        <v>2.1</v>
      </c>
      <c r="N639" s="3" t="inlineStr">
        <is>
          <t>3</t>
        </is>
      </c>
      <c r="O639" s="3" t="inlineStr">
        <is>
          <t>-</t>
        </is>
      </c>
      <c r="P639" s="3" t="inlineStr">
        <is>
          <t>신탄진 현도교에서  8분거리 위치한 공장 및 창고 입니다</t>
        </is>
      </c>
      <c r="Q639" s="6">
        <f>HYPERLINK("https://fin.land.naver.com/articles/2654292750",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1000000</v>
      </c>
      <c r="G640" s="4" t="n">
        <v>0</v>
      </c>
      <c r="H640" s="4" t="n">
        <v>9164</v>
      </c>
      <c r="I640" s="4" t="n">
        <v>2772</v>
      </c>
      <c r="J640" s="5" t="n">
        <v>360.8</v>
      </c>
      <c r="K640" s="4" t="n">
        <v>6783</v>
      </c>
      <c r="L640" s="4" t="n">
        <v>2052</v>
      </c>
      <c r="M640" s="5" t="n">
        <v>487.3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남청주IC에서 가까워 대형차 진출입이 용이한 대규모 물류창고</t>
        </is>
      </c>
      <c r="Q640" s="6">
        <f>HYPERLINK("https://fin.land.naver.com/articles/2656650001",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(주)미르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1500000</v>
      </c>
      <c r="G641" s="4" t="n">
        <v>0</v>
      </c>
      <c r="H641" s="4" t="n">
        <v>18597</v>
      </c>
      <c r="I641" s="4" t="n">
        <v>5626</v>
      </c>
      <c r="J641" s="5" t="n">
        <v>266.6</v>
      </c>
      <c r="K641" s="4" t="n">
        <v>10465</v>
      </c>
      <c r="L641" s="4" t="n">
        <v>3166</v>
      </c>
      <c r="M641" s="5" t="n">
        <v>473.8</v>
      </c>
      <c r="N641" s="3" t="inlineStr">
        <is>
          <t>2</t>
        </is>
      </c>
      <c r="O641" s="3" t="inlineStr">
        <is>
          <t>-</t>
        </is>
      </c>
      <c r="P641" s="3" t="inlineStr">
        <is>
          <t>고속도로 광고 효과 최고 대형 공장 물류 창고, 호이스트  대형차 진출</t>
        </is>
      </c>
      <c r="Q641" s="6">
        <f>HYPERLINK("https://fin.land.naver.com/articles/2652885559",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9146</v>
      </c>
      <c r="I642" s="4" t="n">
        <v>2767</v>
      </c>
      <c r="J642" s="5" t="n">
        <v>361.4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 고속도로 옆  광고. 전시효과 좋은 대형공장이나 물류창고</t>
        </is>
      </c>
      <c r="Q642" s="6">
        <f>HYPERLINK("https://fin.land.naver.com/articles/2654182761",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1500000</v>
      </c>
      <c r="G643" s="4" t="n">
        <v>0</v>
      </c>
      <c r="H643" s="4" t="n">
        <v>18597</v>
      </c>
      <c r="I643" s="4" t="n">
        <v>5626</v>
      </c>
      <c r="J643" s="5" t="n">
        <v>266.6</v>
      </c>
      <c r="K643" s="4" t="n">
        <v>10465</v>
      </c>
      <c r="L643" s="4" t="n">
        <v>3166</v>
      </c>
      <c r="M643" s="5" t="n">
        <v>473.8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광고효과 가시성 좋은 대형공장이나 물류창고</t>
        </is>
      </c>
      <c r="Q643" s="6">
        <f>HYPERLINK("https://fin.land.naver.com/articles/2652625183",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548-6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20000</v>
      </c>
      <c r="G644" s="4" t="n">
        <v>2000</v>
      </c>
      <c r="H644" s="4" t="n">
        <v>3322</v>
      </c>
      <c r="I644" s="4" t="n">
        <v>1005</v>
      </c>
      <c r="J644" s="5" t="n">
        <v>2</v>
      </c>
      <c r="K644" s="4" t="n">
        <v>3306</v>
      </c>
      <c r="L644" s="4" t="n">
        <v>1000</v>
      </c>
      <c r="M644" s="5" t="n">
        <v>2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남청주IC약 8분거리 대형차 진입용이한 공장 및 창고 입니다</t>
        </is>
      </c>
      <c r="Q644" s="6">
        <f>HYPERLINK("https://fin.land.naver.com/articles/2652020785", "매물Link")</f>
        <v/>
      </c>
      <c r="R644" s="6">
        <f>HYPERLINK("https://map.naver.com/p/search/현도면 우록리 548-6", "지도Link")</f>
        <v/>
      </c>
      <c r="S644" s="6">
        <f>HYPERLINK("http://www.eum.go.kr/web/ar/lu/luLandDet.jsp?pnu=4311232024105480006&amp;isNoScr=script&amp;mode=search", "토지이음")</f>
        <v/>
      </c>
      <c r="T644" s="3" t="inlineStr">
        <is>
          <t>더행복</t>
        </is>
      </c>
      <c r="U644" s="4" t="n">
        <v>1</v>
      </c>
      <c r="V644" s="5" t="n">
        <v>64.40000000000001</v>
      </c>
      <c r="W644" s="4" t="n">
        <v>6619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548-6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20000</v>
      </c>
      <c r="G645" s="4" t="n">
        <v>2000</v>
      </c>
      <c r="H645" s="4" t="n">
        <v>9164</v>
      </c>
      <c r="I645" s="4" t="n">
        <v>2772</v>
      </c>
      <c r="J645" s="5" t="n">
        <v>0.7</v>
      </c>
      <c r="K645" s="4" t="n">
        <v>3322</v>
      </c>
      <c r="L645" s="4" t="n">
        <v>1005</v>
      </c>
      <c r="M645" s="5" t="n">
        <v>2</v>
      </c>
      <c r="N645" s="3" t="inlineStr">
        <is>
          <t>1</t>
        </is>
      </c>
      <c r="O645" s="3" t="inlineStr">
        <is>
          <t>-</t>
        </is>
      </c>
      <c r="P645" s="3" t="inlineStr">
        <is>
          <t>경부고속도로옆 광고효과 좋고 남청주ic 5분거리로 공장이나 물류창고</t>
        </is>
      </c>
      <c r="Q645" s="6">
        <f>HYPERLINK("https://fin.land.naver.com/articles/2650873464", "매물Link")</f>
        <v/>
      </c>
      <c r="R645" s="6">
        <f>HYPERLINK("https://map.naver.com/p/search/현도면 우록리 548-6", "지도Link")</f>
        <v/>
      </c>
      <c r="S645" s="6">
        <f>HYPERLINK("http://www.eum.go.kr/web/ar/lu/luLandDet.jsp?pnu=4311232024105480006&amp;isNoScr=script&amp;mode=search",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64.40000000000001</v>
      </c>
      <c r="W645" s="4" t="n">
        <v>6619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730-1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3601</v>
      </c>
      <c r="I646" s="4" t="n">
        <v>1089</v>
      </c>
      <c r="J646" s="5" t="n">
        <v>183.7</v>
      </c>
      <c r="K646" s="4" t="n">
        <v>2145</v>
      </c>
      <c r="L646" s="4" t="n">
        <v>649</v>
      </c>
      <c r="M646" s="5" t="n">
        <v>308.2</v>
      </c>
      <c r="N646" s="3" t="inlineStr">
        <is>
          <t>3</t>
        </is>
      </c>
      <c r="O646" s="3" t="inlineStr">
        <is>
          <t>B1</t>
        </is>
      </c>
      <c r="P646" s="3" t="inlineStr">
        <is>
          <t>남청주ic 신탄진.대전등 접근성 좋은 위치의 공장</t>
        </is>
      </c>
      <c r="Q646" s="6">
        <f>HYPERLINK("https://fin.land.naver.com/articles/2653351717", "매물Link")</f>
        <v/>
      </c>
      <c r="R646" s="6">
        <f>HYPERLINK("https://map.naver.com/p/search/현도면 우록리 730-1", "지도Link")</f>
        <v/>
      </c>
      <c r="S646" s="6">
        <f>HYPERLINK("http://www.eum.go.kr/web/ar/lu/luLandDet.jsp?pnu=4311232024107300001&amp;isNoScr=script&amp;mode=search", "토지이음")</f>
        <v/>
      </c>
      <c r="T646" s="3" t="inlineStr">
        <is>
          <t>더원</t>
        </is>
      </c>
      <c r="U646" s="4" t="n">
        <v>1</v>
      </c>
      <c r="V646" s="5" t="n">
        <v>72.09999999999999</v>
      </c>
      <c r="W646" s="4" t="n">
        <v>2985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730-1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200000</v>
      </c>
      <c r="G647" s="4" t="n">
        <v>0</v>
      </c>
      <c r="H647" s="4" t="n">
        <v>3599</v>
      </c>
      <c r="I647" s="4" t="n">
        <v>1089</v>
      </c>
      <c r="J647" s="5" t="n">
        <v>183.7</v>
      </c>
      <c r="K647" s="4" t="n">
        <v>2145</v>
      </c>
      <c r="L647" s="4" t="n">
        <v>649</v>
      </c>
      <c r="M647" s="5" t="n">
        <v>308.2</v>
      </c>
      <c r="N647" s="3" t="inlineStr">
        <is>
          <t>3</t>
        </is>
      </c>
      <c r="O647" s="3" t="inlineStr">
        <is>
          <t>B1</t>
        </is>
      </c>
      <c r="P647" s="3" t="inlineStr">
        <is>
          <t>남청주IC인근으로 대형차진출입이 편리한 공장 매매,넓은 마당 보유</t>
        </is>
      </c>
      <c r="Q647" s="6">
        <f>HYPERLINK("https://fin.land.naver.com/articles/2654296517", "매물Link")</f>
        <v/>
      </c>
      <c r="R647" s="6">
        <f>HYPERLINK("https://map.naver.com/p/search/현도면 우록리 730-1", "지도Link")</f>
        <v/>
      </c>
      <c r="S647" s="6">
        <f>HYPERLINK("http://www.eum.go.kr/web/ar/lu/luLandDet.jsp?pnu=4311232024107300001&amp;isNoScr=script&amp;mode=search", "토지이음")</f>
        <v/>
      </c>
      <c r="T647" s="3" t="inlineStr">
        <is>
          <t>(주)미르</t>
        </is>
      </c>
      <c r="U647" s="4" t="n">
        <v>2</v>
      </c>
      <c r="V647" s="5" t="n">
        <v>72.09999999999999</v>
      </c>
      <c r="W647" s="4" t="n">
        <v>2985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740-3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750000</v>
      </c>
      <c r="G648" s="4" t="n">
        <v>0</v>
      </c>
      <c r="H648" s="4" t="n">
        <v>12086</v>
      </c>
      <c r="I648" s="4" t="n">
        <v>3656</v>
      </c>
      <c r="J648" s="5" t="n">
        <v>205.1</v>
      </c>
      <c r="K648" s="4" t="n">
        <v>2216</v>
      </c>
      <c r="L648" s="4" t="n">
        <v>670</v>
      </c>
      <c r="M648" s="5" t="n">
        <v>1119.4</v>
      </c>
      <c r="N648" s="3" t="inlineStr">
        <is>
          <t>3</t>
        </is>
      </c>
      <c r="O648" s="3" t="inlineStr">
        <is>
          <t>-</t>
        </is>
      </c>
      <c r="P648" s="3" t="inlineStr">
        <is>
          <t>대지가 넓은 공장으로 민원소지가 없으며 광고 효과가 좋음</t>
        </is>
      </c>
      <c r="Q648" s="6">
        <f>HYPERLINK("https://fin.land.naver.com/articles/2655487194", "매물Link")</f>
        <v/>
      </c>
      <c r="R648" s="6">
        <f>HYPERLINK("https://map.naver.com/p/search/현도면 우록리 740-3", "지도Link")</f>
        <v/>
      </c>
      <c r="S648" s="6">
        <f>HYPERLINK("http://www.eum.go.kr/web/ar/lu/luLandDet.jsp?pnu=4311232024107400003&amp;isNoScr=script&amp;mode=search", "토지이음")</f>
        <v/>
      </c>
      <c r="T648" s="3" t="inlineStr">
        <is>
          <t>대전토지로무소</t>
        </is>
      </c>
      <c r="U648" s="4" t="n">
        <v>1</v>
      </c>
      <c r="V648" s="5" t="n">
        <v>59.8</v>
      </c>
      <c r="W648" s="4" t="n">
        <v>11365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740-3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창고</t>
        </is>
      </c>
      <c r="E649" s="3" t="inlineStr">
        <is>
          <t>매매</t>
        </is>
      </c>
      <c r="F649" s="4" t="n">
        <v>750000</v>
      </c>
      <c r="G649" s="4" t="n">
        <v>0</v>
      </c>
      <c r="H649" s="4" t="n">
        <v>12086</v>
      </c>
      <c r="I649" s="4" t="n">
        <v>3656</v>
      </c>
      <c r="J649" s="5" t="n">
        <v>205.1</v>
      </c>
      <c r="K649" s="4" t="n">
        <v>2217</v>
      </c>
      <c r="L649" s="4" t="n">
        <v>671</v>
      </c>
      <c r="M649" s="5" t="n">
        <v>1117.7</v>
      </c>
      <c r="N649" s="3" t="inlineStr">
        <is>
          <t>3</t>
        </is>
      </c>
      <c r="O649" s="3" t="inlineStr">
        <is>
          <t>-</t>
        </is>
      </c>
      <c r="P649" s="3" t="inlineStr">
        <is>
          <t>민원소지 없는 주차공간 넓은 공장 매매, 공장,창고로 강력추천</t>
        </is>
      </c>
      <c r="Q649" s="6">
        <f>HYPERLINK("https://fin.land.naver.com/articles/2654281379", "매물Link")</f>
        <v/>
      </c>
      <c r="R649" s="6">
        <f>HYPERLINK("https://map.naver.com/p/search/현도면 우록리 740-3", "지도Link")</f>
        <v/>
      </c>
      <c r="S649" s="6">
        <f>HYPERLINK("http://www.eum.go.kr/web/ar/lu/luLandDet.jsp?pnu=4311232024107400003&amp;isNoScr=script&amp;mode=search", "토지이음")</f>
        <v/>
      </c>
      <c r="T649" s="3" t="inlineStr">
        <is>
          <t>금화랜드</t>
        </is>
      </c>
      <c r="U649" s="4" t="n">
        <v>1</v>
      </c>
      <c r="V649" s="5" t="n">
        <v>59.8</v>
      </c>
      <c r="W649" s="4" t="n">
        <v>11365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753-13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8829</v>
      </c>
      <c r="I650" s="4" t="n">
        <v>2671</v>
      </c>
      <c r="J650" s="5" t="n">
        <v>262.1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남청주IC 인근, 가구마을옆, 활용도 좋은 넓은 토지가있는 신축공장</t>
        </is>
      </c>
      <c r="Q650" s="6">
        <f>HYPERLINK("https://fin.land.naver.com/articles/2655941119", "매물Link")</f>
        <v/>
      </c>
      <c r="R650" s="6">
        <f>HYPERLINK("https://map.naver.com/p/search/현도면 우록리 753-13", "지도Link")</f>
        <v/>
      </c>
      <c r="S650" s="6">
        <f>HYPERLINK("http://www.eum.go.kr/web/ar/lu/luLandDet.jsp?pnu=4311232024107530013&amp;isNoScr=script&amp;mode=search",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15.6</v>
      </c>
      <c r="W650" s="4" t="n">
        <v>6268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우록리 753-14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700000</v>
      </c>
      <c r="G651" s="4" t="n">
        <v>0</v>
      </c>
      <c r="H651" s="4" t="n">
        <v>9821</v>
      </c>
      <c r="I651" s="4" t="n">
        <v>2971</v>
      </c>
      <c r="J651" s="5" t="n">
        <v>235.6</v>
      </c>
      <c r="K651" s="4" t="n">
        <v>1109</v>
      </c>
      <c r="L651" s="4" t="n">
        <v>335</v>
      </c>
      <c r="M651" s="5" t="n">
        <v>2089.6</v>
      </c>
      <c r="N651" s="3" t="inlineStr">
        <is>
          <t>1</t>
        </is>
      </c>
      <c r="O651" s="3" t="inlineStr">
        <is>
          <t>-</t>
        </is>
      </c>
      <c r="P651" s="3" t="inlineStr">
        <is>
          <t>대지 넓어 증축 가능한 신축급 공장,민원 걱정 없고 대형차량 진출입 용이</t>
        </is>
      </c>
      <c r="Q651" s="6">
        <f>HYPERLINK("https://fin.land.naver.com/articles/2650946317", "매물Link")</f>
        <v/>
      </c>
      <c r="R651" s="6">
        <f>HYPERLINK("https://map.naver.com/p/search/현도면 우록리 753-14", "지도Link")</f>
        <v/>
      </c>
      <c r="S651" s="6">
        <f>HYPERLINK("http://www.eum.go.kr/web/ar/lu/luLandDet.jsp?pnu=4311232024107530014&amp;isNoScr=script&amp;mode=search", "토지이음")</f>
        <v/>
      </c>
      <c r="T651" s="3" t="inlineStr">
        <is>
          <t>금화랜드</t>
        </is>
      </c>
      <c r="U651" s="4" t="n">
        <v>1</v>
      </c>
      <c r="V651" s="5" t="n">
        <v>58.9</v>
      </c>
      <c r="W651" s="4" t="n">
        <v>2561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즉시 사용 가능한 공장 및 창고 민원 소지 없음 2개동으로 분리 되어있음</t>
        </is>
      </c>
      <c r="Q652" s="6">
        <f>HYPERLINK("https://fin.land.naver.com/articles/2652881066",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1222</v>
      </c>
      <c r="L653" s="4" t="n">
        <v>370</v>
      </c>
      <c r="M653" s="5" t="n">
        <v>0.9</v>
      </c>
      <c r="N653" s="3" t="inlineStr">
        <is>
          <t>2</t>
        </is>
      </c>
      <c r="O653" s="3" t="inlineStr">
        <is>
          <t>-</t>
        </is>
      </c>
      <c r="P653" s="3" t="inlineStr">
        <is>
          <t>현도면 민원소지 없는 공장, 창고 임대, 즉시입주</t>
        </is>
      </c>
      <c r="Q653" s="6">
        <f>HYPERLINK("https://fin.land.naver.com/articles/2656308871",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신탄진다온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171</t>
        </is>
      </c>
      <c r="B655" s="3" t="inlineStr">
        <is>
          <t>보전관리지역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월세</t>
        </is>
      </c>
      <c r="F655" s="4" t="n">
        <v>4000</v>
      </c>
      <c r="G655" s="4" t="n">
        <v>350</v>
      </c>
      <c r="H655" s="4" t="n">
        <v>7491</v>
      </c>
      <c r="I655" s="4" t="n">
        <v>2266</v>
      </c>
      <c r="J655" s="5" t="n">
        <v>0.2</v>
      </c>
      <c r="K655" s="4" t="n">
        <v>823</v>
      </c>
      <c r="L655" s="4" t="n">
        <v>249</v>
      </c>
      <c r="M655" s="5" t="n">
        <v>1.4</v>
      </c>
      <c r="N655" s="3" t="inlineStr">
        <is>
          <t>1</t>
        </is>
      </c>
      <c r="O655" s="3" t="inlineStr">
        <is>
          <t>-</t>
        </is>
      </c>
      <c r="P655" s="3" t="inlineStr">
        <is>
          <t>nan</t>
        </is>
      </c>
      <c r="Q655" s="6">
        <f>HYPERLINK("https://fin.land.naver.com/articles/2655864267", "매물Link")</f>
        <v/>
      </c>
      <c r="R655" s="6">
        <f>HYPERLINK("https://map.naver.com/p/search/현도면 죽암리 171", "지도Link")</f>
        <v/>
      </c>
      <c r="S655" s="6">
        <f>HYPERLINK("http://www.eum.go.kr/web/ar/lu/luLandDet.jsp?pnu=4311232034101710000&amp;isNoScr=script&amp;mode=search", "토지이음")</f>
        <v/>
      </c>
      <c r="T655" s="3" t="inlineStr">
        <is>
          <t>KS</t>
        </is>
      </c>
      <c r="U655" s="4" t="n">
        <v>1</v>
      </c>
      <c r="V655" s="5" t="n">
        <v>47</v>
      </c>
      <c r="W655" s="4" t="n">
        <v>7491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4490</v>
      </c>
      <c r="I656" s="4" t="n">
        <v>1358</v>
      </c>
      <c r="J656" s="5" t="n">
        <v>0.6</v>
      </c>
      <c r="K656" s="4" t="n">
        <v>837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인근 2차선 접한 단독창고, 대형마당, 높은 층고</t>
        </is>
      </c>
      <c r="Q656" s="6">
        <f>HYPERLINK("https://fin.land.naver.com/articles/2656159325",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더오름</t>
        </is>
      </c>
      <c r="U656" s="4" t="n">
        <v>2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HYPERLINK("https://fin.land.naver.com/articles/2650936228",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390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10000</v>
      </c>
      <c r="G660" s="4" t="n">
        <v>900</v>
      </c>
      <c r="H660" s="4" t="n">
        <v>5631</v>
      </c>
      <c r="I660" s="4" t="n">
        <v>1703</v>
      </c>
      <c r="J660" s="5" t="n">
        <v>0.5</v>
      </c>
      <c r="K660" s="4" t="n">
        <v>1622</v>
      </c>
      <c r="L660" s="4" t="n">
        <v>491</v>
      </c>
      <c r="M660" s="5" t="n">
        <v>1.8</v>
      </c>
      <c r="N660" s="3" t="inlineStr">
        <is>
          <t>1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HYPERLINK("https://fin.land.naver.com/articles/2654779216", "매물Link")</f>
        <v/>
      </c>
      <c r="R660" s="6">
        <f>HYPERLINK("https://map.naver.com/p/search/현도면 죽암리 390", "지도Link")</f>
        <v/>
      </c>
      <c r="S660" s="6">
        <f>HYPERLINK("http://www.eum.go.kr/web/ar/lu/luLandDet.jsp?pnu=4311232034103900000&amp;isNoScr=script&amp;mode=search", "토지이음")</f>
        <v/>
      </c>
      <c r="T660" s="3" t="inlineStr">
        <is>
          <t>(주)동행에셋</t>
        </is>
      </c>
      <c r="U660" s="4" t="n">
        <v>1</v>
      </c>
      <c r="V660" s="5" t="n">
        <v>60.8</v>
      </c>
      <c r="W660" s="4" t="n">
        <v>5631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5000</v>
      </c>
      <c r="G661" s="4" t="n">
        <v>480</v>
      </c>
      <c r="H661" s="4" t="n">
        <v>5631</v>
      </c>
      <c r="I661" s="4" t="n">
        <v>1703</v>
      </c>
      <c r="J661" s="5" t="n">
        <v>0.3</v>
      </c>
      <c r="K661" s="4" t="n">
        <v>668</v>
      </c>
      <c r="L661" s="4" t="n">
        <v>202</v>
      </c>
      <c r="M661" s="5" t="n">
        <v>2.4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HYPERLINK("https://fin.land.naver.com/articles/2651352381",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귀한 고압가스신축창고 에어로졸 제품 저장창고</t>
        </is>
      </c>
      <c r="Q662" s="6">
        <f>HYPERLINK("https://fin.land.naver.com/articles/2655605320",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994</v>
      </c>
      <c r="L664" s="4" t="n">
        <v>301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위험물보관창고</t>
        </is>
      </c>
      <c r="Q664" s="6">
        <f>HYPERLINK("https://fin.land.naver.com/articles/2652905225",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창고의여왕</t>
        </is>
      </c>
      <c r="U664" s="4" t="n">
        <v>2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2</t>
        </is>
      </c>
      <c r="O665" s="3" t="inlineStr">
        <is>
          <t>-</t>
        </is>
      </c>
      <c r="P665" s="3" t="inlineStr">
        <is>
          <t>위험물 저장 및 처리시설 고압 가스 보관 신축 창고 임대</t>
        </is>
      </c>
      <c r="Q665" s="6">
        <f>HYPERLINK("https://fin.land.naver.com/articles/2653576498",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3500000</v>
      </c>
      <c r="G666" s="4" t="n">
        <v>0</v>
      </c>
      <c r="H666" s="4" t="n">
        <v>19215</v>
      </c>
      <c r="I666" s="4" t="n">
        <v>5813</v>
      </c>
      <c r="J666" s="5" t="n">
        <v>602.1</v>
      </c>
      <c r="K666" s="4" t="n">
        <v>7120</v>
      </c>
      <c r="L666" s="4" t="n">
        <v>2154</v>
      </c>
      <c r="M666" s="5" t="n">
        <v>1624.9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 냉장,냉동,상온창고 도크시설완비 남청주IC인근, 층고6m</t>
        </is>
      </c>
      <c r="Q666" s="6">
        <f>HYPERLINK("https://fin.land.naver.com/articles/2654296503",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35000</v>
      </c>
      <c r="G667" s="4" t="n">
        <v>3500</v>
      </c>
      <c r="H667" s="4" t="n">
        <v>19215</v>
      </c>
      <c r="I667" s="4" t="n">
        <v>5813</v>
      </c>
      <c r="J667" s="5" t="n">
        <v>0.6</v>
      </c>
      <c r="K667" s="4" t="n">
        <v>2269</v>
      </c>
      <c r="L667" s="4" t="n">
        <v>686</v>
      </c>
      <c r="M667" s="5" t="n">
        <v>5.1</v>
      </c>
      <c r="N667" s="3" t="inlineStr">
        <is>
          <t>3</t>
        </is>
      </c>
      <c r="O667" s="3" t="inlineStr">
        <is>
          <t>B1</t>
        </is>
      </c>
      <c r="P667" s="3" t="inlineStr">
        <is>
          <t>남청주ic4분거리 대형컨테이너차량 접안가능 냉동냉장상온창고임대</t>
        </is>
      </c>
      <c r="Q667" s="6">
        <f>HYPERLINK("https://fin.land.naver.com/articles/2652625565",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더원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26000</v>
      </c>
      <c r="G668" s="4" t="n">
        <v>2600</v>
      </c>
      <c r="H668" s="4" t="n">
        <v>19215</v>
      </c>
      <c r="I668" s="4" t="n">
        <v>5813</v>
      </c>
      <c r="J668" s="5" t="n">
        <v>0.4</v>
      </c>
      <c r="K668" s="4" t="n">
        <v>2948</v>
      </c>
      <c r="L668" s="4" t="n">
        <v>892</v>
      </c>
      <c r="M668" s="5" t="n">
        <v>2.9</v>
      </c>
      <c r="N668" s="3" t="inlineStr">
        <is>
          <t>3</t>
        </is>
      </c>
      <c r="O668" s="3" t="inlineStr">
        <is>
          <t>-</t>
        </is>
      </c>
      <c r="P668" s="3" t="inlineStr">
        <is>
          <t>사진有 창고 임대</t>
        </is>
      </c>
      <c r="Q668" s="6">
        <f>HYPERLINK("https://fin.land.naver.com/articles/2652988691",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월드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25000</v>
      </c>
      <c r="G669" s="4" t="n">
        <v>2500</v>
      </c>
      <c r="H669" s="4" t="n">
        <v>19215</v>
      </c>
      <c r="I669" s="4" t="n">
        <v>5813</v>
      </c>
      <c r="J669" s="5" t="n">
        <v>0.4</v>
      </c>
      <c r="K669" s="4" t="n">
        <v>1373</v>
      </c>
      <c r="L669" s="4" t="n">
        <v>415</v>
      </c>
      <c r="M669" s="5" t="n">
        <v>6</v>
      </c>
      <c r="N669" s="3" t="inlineStr">
        <is>
          <t>3</t>
        </is>
      </c>
      <c r="O669" s="3" t="inlineStr">
        <is>
          <t>B1</t>
        </is>
      </c>
      <c r="P669" s="3" t="inlineStr">
        <is>
          <t>즉시 사용 가능한 냉동, 냉장 창고 임대, 도크시설 남청주IC 인접</t>
        </is>
      </c>
      <c r="Q669" s="6">
        <f>HYPERLINK("https://fin.land.naver.com/articles/2651936825",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대전토지로무소</t>
        </is>
      </c>
      <c r="U669" s="4" t="n">
        <v>2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56000</v>
      </c>
      <c r="G670" s="4" t="n">
        <v>5600</v>
      </c>
      <c r="H670" s="4" t="n">
        <v>59748</v>
      </c>
      <c r="I670" s="4" t="n">
        <v>18074</v>
      </c>
      <c r="J670" s="5" t="n">
        <v>0.3</v>
      </c>
      <c r="K670" s="4" t="n">
        <v>6520</v>
      </c>
      <c r="L670" s="4" t="n">
        <v>1972</v>
      </c>
      <c r="M670" s="5" t="n">
        <v>2.8</v>
      </c>
      <c r="N670" s="3" t="inlineStr">
        <is>
          <t>3</t>
        </is>
      </c>
      <c r="O670" s="3" t="inlineStr">
        <is>
          <t>B1</t>
        </is>
      </c>
      <c r="P670" s="3" t="inlineStr">
        <is>
          <t>대형 상온창고 도크시설완비 남청주IC인근, 층고6m</t>
        </is>
      </c>
      <c r="Q670" s="6">
        <f>HYPERLINK("https://fin.land.naver.com/articles/2655945594",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517</v>
      </c>
      <c r="L672" s="4" t="n">
        <v>156</v>
      </c>
      <c r="M672" s="5" t="n">
        <v>6</v>
      </c>
      <c r="N672" s="3" t="inlineStr">
        <is>
          <t>3</t>
        </is>
      </c>
      <c r="O672" s="3" t="inlineStr">
        <is>
          <t>-</t>
        </is>
      </c>
      <c r="P672" s="3" t="inlineStr">
        <is>
          <t>사진有 저온 창고 임대</t>
        </is>
      </c>
      <c r="Q672" s="6">
        <f>HYPERLINK("https://fin.land.naver.com/articles/2652988644",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0.4</v>
      </c>
      <c r="N673" s="3" t="inlineStr">
        <is>
          <t>3</t>
        </is>
      </c>
      <c r="O673" s="3" t="inlineStr">
        <is>
          <t>-</t>
        </is>
      </c>
      <c r="P673" s="3" t="inlineStr">
        <is>
          <t>대형차 진출입이 편리한 냉장, 냉동 창고 임대,  남청주IC인근</t>
        </is>
      </c>
      <c r="Q673" s="6">
        <f>HYPERLINK("https://fin.land.naver.com/articles/2653660248",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11000</v>
      </c>
      <c r="G674" s="4" t="n">
        <v>1100</v>
      </c>
      <c r="H674" s="4" t="n">
        <v>63520</v>
      </c>
      <c r="I674" s="4" t="n">
        <v>19215</v>
      </c>
      <c r="J674" s="5" t="n">
        <v>0.1</v>
      </c>
      <c r="K674" s="4" t="n">
        <v>628</v>
      </c>
      <c r="L674" s="4" t="n">
        <v>190</v>
      </c>
      <c r="M674" s="5" t="n">
        <v>5.8</v>
      </c>
      <c r="N674" s="3" t="inlineStr">
        <is>
          <t>3</t>
        </is>
      </c>
      <c r="O674" s="3" t="inlineStr">
        <is>
          <t>B1</t>
        </is>
      </c>
      <c r="P674" s="3" t="inlineStr">
        <is>
          <t>즉시 사용 가능한 남청주 IC 인근 냉장 냉동 창고 및 유통 창고 임대</t>
        </is>
      </c>
      <c r="Q674" s="6">
        <f>HYPERLINK("https://fin.land.naver.com/articles/2652883410",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7120</v>
      </c>
      <c r="L675" s="4" t="n">
        <v>2154</v>
      </c>
      <c r="M675" s="5" t="n">
        <v>0.4</v>
      </c>
      <c r="N675" s="3" t="inlineStr">
        <is>
          <t>3</t>
        </is>
      </c>
      <c r="O675" s="3" t="inlineStr">
        <is>
          <t>B1</t>
        </is>
      </c>
      <c r="P675" s="3" t="inlineStr">
        <is>
          <t>대형냉동냉장창고 다양한 평수가능 남청주IC인근 진출입용이 상세내용 확인</t>
        </is>
      </c>
      <c r="Q675" s="6">
        <f>HYPERLINK("https://fin.land.naver.com/articles/2654872944",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태광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7120</v>
      </c>
      <c r="L676" s="4" t="n">
        <v>2154</v>
      </c>
      <c r="M676" s="5" t="n">
        <v>0.5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 인근 대형 냉동 냉장창고 임대 다양한 평수 상세정보 확인요망</t>
        </is>
      </c>
      <c r="Q676" s="6">
        <f>HYPERLINK("https://fin.land.naver.com/articles/2654877131",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태광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20000</v>
      </c>
      <c r="G677" s="4" t="n">
        <v>2000</v>
      </c>
      <c r="H677" s="4" t="n">
        <v>19215</v>
      </c>
      <c r="I677" s="4" t="n">
        <v>5813</v>
      </c>
      <c r="J677" s="5" t="n">
        <v>0.3</v>
      </c>
      <c r="K677" s="4" t="n">
        <v>7120</v>
      </c>
      <c r="L677" s="4" t="n">
        <v>2154</v>
      </c>
      <c r="M677" s="5" t="n">
        <v>0.9</v>
      </c>
      <c r="N677" s="3" t="inlineStr">
        <is>
          <t>3</t>
        </is>
      </c>
      <c r="O677" s="3" t="inlineStr">
        <is>
          <t>B1</t>
        </is>
      </c>
      <c r="P677" s="3" t="inlineStr">
        <is>
          <t>진출입 편리한 대형 냉동냉장창고 다양한 평수 가능 상세정보 확인요망</t>
        </is>
      </c>
      <c r="Q677" s="6">
        <f>HYPERLINK("https://fin.land.naver.com/articles/2655616952",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태광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9400</v>
      </c>
      <c r="G678" s="4" t="n">
        <v>940</v>
      </c>
      <c r="H678" s="4" t="n">
        <v>19215</v>
      </c>
      <c r="I678" s="4" t="n">
        <v>5813</v>
      </c>
      <c r="J678" s="5" t="n">
        <v>0.2</v>
      </c>
      <c r="K678" s="4" t="n">
        <v>517</v>
      </c>
      <c r="L678" s="4" t="n">
        <v>156</v>
      </c>
      <c r="M678" s="5" t="n">
        <v>6</v>
      </c>
      <c r="N678" s="3" t="inlineStr">
        <is>
          <t>3</t>
        </is>
      </c>
      <c r="O678" s="3" t="inlineStr">
        <is>
          <t>B1</t>
        </is>
      </c>
      <c r="P678" s="3" t="inlineStr">
        <is>
          <t>남청주ic 4분거리로 고속도로 접근성좋은위치의냉동창고임대</t>
        </is>
      </c>
      <c r="Q678" s="6">
        <f>HYPERLINK("https://fin.land.naver.com/articles/2652625528",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시설, 화물 엘리베이터 있는 남청주 IC 인근 물류창고 사무실 있음</t>
        </is>
      </c>
      <c r="Q679" s="6">
        <f>HYPERLINK("https://fin.land.naver.com/articles/2652879648",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22000</v>
      </c>
      <c r="G681" s="4" t="n">
        <v>2200</v>
      </c>
      <c r="H681" s="4" t="n">
        <v>4819</v>
      </c>
      <c r="I681" s="4" t="n">
        <v>1458</v>
      </c>
      <c r="J681" s="5" t="n">
        <v>1.5</v>
      </c>
      <c r="K681" s="4" t="n">
        <v>3572</v>
      </c>
      <c r="L681" s="4" t="n">
        <v>1081</v>
      </c>
      <c r="M681" s="5" t="n">
        <v>2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 진출입용이 매우 저렴한 깔끔한 대형창고 임대</t>
        </is>
      </c>
      <c r="Q681" s="6">
        <f>HYPERLINK("https://fin.land.naver.com/articles/2654874017",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태광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450000</v>
      </c>
      <c r="G682" s="4" t="n">
        <v>0</v>
      </c>
      <c r="H682" s="4" t="n">
        <v>4819</v>
      </c>
      <c r="I682" s="4" t="n">
        <v>1458</v>
      </c>
      <c r="J682" s="5" t="n">
        <v>308.6</v>
      </c>
      <c r="K682" s="4" t="n">
        <v>3752</v>
      </c>
      <c r="L682" s="4" t="n">
        <v>1135</v>
      </c>
      <c r="M682" s="5" t="n">
        <v>396.5</v>
      </c>
      <c r="N682" s="3" t="inlineStr">
        <is>
          <t>1</t>
        </is>
      </c>
      <c r="O682" s="3" t="inlineStr">
        <is>
          <t>-</t>
        </is>
      </c>
      <c r="P682" s="3" t="inlineStr">
        <is>
          <t>남청주IC 인근대형차 진출입태양광 수익,죽전리 대형창 매매</t>
        </is>
      </c>
      <c r="Q682" s="6">
        <f>HYPERLINK("https://fin.land.naver.com/articles/2656312511",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신탄진다온</t>
        </is>
      </c>
      <c r="U682" s="4" t="n">
        <v>2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현도면 산업단지 창고 시설 매매 대형 화물차 진출입 용이 ic근접</t>
        </is>
      </c>
      <c r="Q683" s="6">
        <f>HYPERLINK("https://fin.land.naver.com/articles/2653689719",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은행나무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10000</v>
      </c>
      <c r="G684" s="4" t="n">
        <v>1000</v>
      </c>
      <c r="H684" s="4" t="n">
        <v>4819</v>
      </c>
      <c r="I684" s="4" t="n">
        <v>1458</v>
      </c>
      <c r="J684" s="5" t="n">
        <v>0.7</v>
      </c>
      <c r="K684" s="4" t="n">
        <v>1751</v>
      </c>
      <c r="L684" s="4" t="n">
        <v>530</v>
      </c>
      <c r="M684" s="5" t="n">
        <v>1.9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인근으로 대형차 진출입이 편리한 창고 임대</t>
        </is>
      </c>
      <c r="Q684" s="6">
        <f>HYPERLINK("https://fin.land.naver.com/articles/2652114936",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5분, 도크시설 있음 2톤 화물리프트 신설, 물류창고 최적</t>
        </is>
      </c>
      <c r="Q685" s="6">
        <f>HYPERLINK("https://fin.land.naver.com/articles/2653810240",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대성오투그란데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4870</v>
      </c>
      <c r="I686" s="4" t="n">
        <v>1473</v>
      </c>
      <c r="J686" s="5" t="n">
        <v>305.5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도크 시설 있는 물류창고 남청주 IC 인근 대형차 진출입 원활,</t>
        </is>
      </c>
      <c r="Q686" s="6">
        <f>HYPERLINK("https://fin.land.naver.com/articles/2655488468",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대전토지로무소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 7분거리 이며 죽암휴게소인근으로 경부고속도로 인접한 물류창고</t>
        </is>
      </c>
      <c r="Q687" s="6">
        <f>HYPERLINK("https://fin.land.naver.com/articles/2654178454",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300000</v>
      </c>
      <c r="G689" s="4" t="n">
        <v>0</v>
      </c>
      <c r="H689" s="4" t="n">
        <v>8464</v>
      </c>
      <c r="I689" s="4" t="n">
        <v>2560</v>
      </c>
      <c r="J689" s="5" t="n">
        <v>117.2</v>
      </c>
      <c r="K689" s="4" t="n">
        <v>3290</v>
      </c>
      <c r="L689" s="4" t="n">
        <v>995</v>
      </c>
      <c r="M689" s="5" t="n">
        <v>301.5</v>
      </c>
      <c r="N689" s="3" t="inlineStr">
        <is>
          <t>3</t>
        </is>
      </c>
      <c r="O689" s="3" t="inlineStr">
        <is>
          <t>-</t>
        </is>
      </c>
      <c r="P689" s="3" t="inlineStr">
        <is>
          <t>남청주IC 인근, 화물엘리베이터, 호이스트, 도크시설 완비</t>
        </is>
      </c>
      <c r="Q689" s="6">
        <f>HYPERLINK("https://fin.land.naver.com/articles/2654295332",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(주)미르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125000</v>
      </c>
      <c r="G695" s="4" t="n">
        <v>0</v>
      </c>
      <c r="H695" s="4" t="n">
        <v>2748</v>
      </c>
      <c r="I695" s="4" t="n">
        <v>831</v>
      </c>
      <c r="J695" s="5" t="n">
        <v>150.4</v>
      </c>
      <c r="K695" s="4" t="n">
        <v>451</v>
      </c>
      <c r="L695" s="4" t="n">
        <v>136</v>
      </c>
      <c r="M695" s="5" t="n">
        <v>919.1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남청주ic 7분  도시가스 인입 투자가치 좋은 공장매매</t>
        </is>
      </c>
      <c r="Q695" s="6">
        <f>HYPERLINK("https://fin.land.naver.com/articles/2654181576",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더원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514500</v>
      </c>
      <c r="G696" s="4" t="n">
        <v>0</v>
      </c>
      <c r="H696" s="4" t="n">
        <v>11336</v>
      </c>
      <c r="I696" s="4" t="n">
        <v>3429</v>
      </c>
      <c r="J696" s="5" t="n">
        <v>150</v>
      </c>
      <c r="K696" s="4" t="n">
        <v>2794</v>
      </c>
      <c r="L696" s="4" t="n">
        <v>845</v>
      </c>
      <c r="M696" s="5" t="n">
        <v>608.9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남청주IC인근,도시가스인입,현도일반산업단지 바로 옆 저렴한 공장매매</t>
        </is>
      </c>
      <c r="Q696" s="6">
        <f>HYPERLINK("https://fin.land.naver.com/articles/2655092999",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(주)미르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nan</t>
        </is>
      </c>
      <c r="Q698" s="6">
        <f>HYPERLINK("https://fin.land.naver.com/articles/2651863359",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KS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6329</v>
      </c>
      <c r="I702" s="4" t="n">
        <v>1915</v>
      </c>
      <c r="J702" s="5" t="n">
        <v>188</v>
      </c>
      <c r="K702" s="4" t="n">
        <v>887</v>
      </c>
      <c r="L702" s="4" t="n">
        <v>268</v>
      </c>
      <c r="M702" s="5" t="n">
        <v>1343.3</v>
      </c>
      <c r="N702" s="3" t="inlineStr">
        <is>
          <t>2</t>
        </is>
      </c>
      <c r="O702" s="3" t="inlineStr">
        <is>
          <t>-</t>
        </is>
      </c>
      <c r="P702" s="3" t="inlineStr">
        <is>
          <t>남청주ic 7분 2차선접 넓은대지</t>
        </is>
      </c>
      <c r="Q702" s="6">
        <f>HYPERLINK("https://fin.land.naver.com/articles/2651500763",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학사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18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360000</v>
      </c>
      <c r="G703" s="4" t="n">
        <v>0</v>
      </c>
      <c r="H703" s="4" t="n">
        <v>6340</v>
      </c>
      <c r="I703" s="4" t="n">
        <v>1918</v>
      </c>
      <c r="J703" s="5" t="n">
        <v>187.7</v>
      </c>
      <c r="K703" s="4" t="n">
        <v>2934</v>
      </c>
      <c r="L703" s="4" t="n">
        <v>888</v>
      </c>
      <c r="M703" s="5" t="n">
        <v>405.4</v>
      </c>
      <c r="N703" s="3" t="inlineStr">
        <is>
          <t>3</t>
        </is>
      </c>
      <c r="O703" s="3" t="inlineStr">
        <is>
          <t>-</t>
        </is>
      </c>
      <c r="P703" s="3" t="inlineStr">
        <is>
          <t>즉시 사용가능한 마당넓고 층고높고 2차선 접해 있고 호이스트2대인 공장</t>
        </is>
      </c>
      <c r="Q703" s="6">
        <f>HYPERLINK("https://fin.land.naver.com/articles/2655489733", "매물Link")</f>
        <v/>
      </c>
      <c r="R703" s="6">
        <f>HYPERLINK("https://map.naver.com/p/search/현도면 중삼리 18", "지도Link")</f>
        <v/>
      </c>
      <c r="S703" s="6">
        <f>HYPERLINK("http://www.eum.go.kr/web/ar/lu/luLandDet.jsp?pnu=4311232022100180000&amp;isNoScr=script&amp;mode=search", "토지이음")</f>
        <v/>
      </c>
      <c r="T703" s="3" t="inlineStr">
        <is>
          <t>대전토지로무소</t>
        </is>
      </c>
      <c r="U703" s="4" t="n">
        <v>1</v>
      </c>
      <c r="V703" s="5" t="n">
        <v>61.7</v>
      </c>
      <c r="W703" s="4" t="n">
        <v>4088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183500</v>
      </c>
      <c r="G705" s="4" t="n">
        <v>0</v>
      </c>
      <c r="H705" s="4" t="n">
        <v>4043</v>
      </c>
      <c r="I705" s="4" t="n">
        <v>1223</v>
      </c>
      <c r="J705" s="5" t="n">
        <v>150</v>
      </c>
      <c r="K705" s="4" t="n">
        <v>1539</v>
      </c>
      <c r="L705" s="4" t="n">
        <v>466</v>
      </c>
      <c r="M705" s="5" t="n">
        <v>393.8</v>
      </c>
      <c r="N705" s="3" t="inlineStr">
        <is>
          <t>1</t>
        </is>
      </c>
      <c r="O705" s="3" t="inlineStr">
        <is>
          <t>-</t>
        </is>
      </c>
      <c r="P705" s="3" t="inlineStr">
        <is>
          <t>남청주ic 7분거리 토지가격으로 저렴하게 책정하여 매매</t>
        </is>
      </c>
      <c r="Q705" s="6">
        <f>HYPERLINK("https://fin.land.naver.com/articles/2654177800", "매물Link")</f>
        <v/>
      </c>
      <c r="R705" s="6">
        <f>HYPERLINK("https://map.naver.com/p/search/현도면 중삼리 19", "지도Link")</f>
        <v/>
      </c>
      <c r="S705" s="6">
        <f>HYPERLINK("http://www.eum.go.kr/web/ar/lu/luLandDet.jsp?pnu=4311232022100190000&amp;isNoScr=script&amp;mode=search", "토지이음")</f>
        <v/>
      </c>
      <c r="T705" s="3" t="inlineStr">
        <is>
          <t>더원</t>
        </is>
      </c>
      <c r="U705" s="4" t="n">
        <v>1</v>
      </c>
      <c r="V705" s="5" t="n">
        <v>53.5</v>
      </c>
      <c r="W705" s="4" t="n">
        <v>3904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978</v>
      </c>
      <c r="I706" s="4" t="n">
        <v>296</v>
      </c>
      <c r="J706" s="5" t="n">
        <v>2.2</v>
      </c>
      <c r="K706" s="4" t="n">
        <v>2461</v>
      </c>
      <c r="L706" s="4" t="n">
        <v>744</v>
      </c>
      <c r="M706" s="5" t="n">
        <v>0.9</v>
      </c>
      <c r="N706" s="3" t="inlineStr">
        <is>
          <t>1</t>
        </is>
      </c>
      <c r="O706" s="3" t="inlineStr">
        <is>
          <t>-</t>
        </is>
      </c>
      <c r="P706" s="3" t="inlineStr">
        <is>
          <t>실사진0k 층고9.5m 착한 임대료 대형평수 즉시입주가능</t>
        </is>
      </c>
      <c r="Q706" s="6">
        <f>HYPERLINK("https://fin.land.naver.com/articles/2655034984",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이음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979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현도면 남청주톨게이트 5분거리 2차선 접한 마당넓은 공장 및 창고</t>
        </is>
      </c>
      <c r="Q707" s="6">
        <f>HYPERLINK("https://fin.land.naver.com/articles/2654151842",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신탄진다온</t>
        </is>
      </c>
      <c r="U707" s="4" t="n">
        <v>2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978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HYPERLINK("https://fin.land.naver.com/articles/2653911084",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2461</v>
      </c>
      <c r="I709" s="4" t="n">
        <v>744</v>
      </c>
      <c r="J709" s="5" t="n">
        <v>0.9</v>
      </c>
      <c r="K709" s="4" t="n">
        <v>978</v>
      </c>
      <c r="L709" s="4" t="n">
        <v>296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5분거리에 위치한 호이스트달린 공장</t>
        </is>
      </c>
      <c r="Q709" s="6">
        <f>HYPERLINK("https://fin.land.naver.com/articles/2656526107", "매물Link")</f>
        <v/>
      </c>
      <c r="R709" s="6">
        <f>HYPERLINK("https://map.naver.com/p/search/현도면 중삼리 193", "지도Link")</f>
        <v/>
      </c>
      <c r="S709" s="6">
        <f>HYPERLINK("http://www.eum.go.kr/web/ar/lu/luLandDet.jsp?pnu=4311232022101930000&amp;isNoScr=script&amp;mode=search", "토지이음")</f>
        <v/>
      </c>
      <c r="T709" s="3" t="inlineStr">
        <is>
          <t>창고의여왕</t>
        </is>
      </c>
      <c r="U709" s="4" t="n">
        <v>1</v>
      </c>
      <c r="V709" s="5" t="n">
        <v>57.8</v>
      </c>
      <c r="W709" s="4" t="n">
        <v>1240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소로한면</t>
        </is>
      </c>
    </row>
    <row r="710">
      <c r="A710" s="3" t="inlineStr">
        <is>
          <t>현도면 중삼리 193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1240</v>
      </c>
      <c r="I710" s="4" t="n">
        <v>375</v>
      </c>
      <c r="J710" s="5" t="n">
        <v>0.9</v>
      </c>
      <c r="K710" s="4" t="n">
        <v>491</v>
      </c>
      <c r="L710" s="4" t="n">
        <v>149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주차편리하고 2차선접한 공장입니다</t>
        </is>
      </c>
      <c r="Q710" s="6">
        <f>HYPERLINK("https://fin.land.naver.com/articles/2653096286", "매물Link")</f>
        <v/>
      </c>
      <c r="R710" s="6">
        <f>HYPERLINK("https://map.naver.com/p/search/현도면 중삼리 193", "지도Link")</f>
        <v/>
      </c>
      <c r="S710" s="6">
        <f>HYPERLINK("http://www.eum.go.kr/web/ar/lu/luLandDet.jsp?pnu=4311232022101930000&amp;isNoScr=script&amp;mode=search", "토지이음")</f>
        <v/>
      </c>
      <c r="T710" s="3" t="inlineStr">
        <is>
          <t>복댕이</t>
        </is>
      </c>
      <c r="U710" s="4" t="n">
        <v>1</v>
      </c>
      <c r="V710" s="5" t="n">
        <v>57.8</v>
      </c>
      <c r="W710" s="4" t="n">
        <v>1240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소로한면</t>
        </is>
      </c>
    </row>
    <row r="711">
      <c r="A711" s="3" t="inlineStr">
        <is>
          <t>현도면 중삼리 193-2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창고</t>
        </is>
      </c>
      <c r="E711" s="3" t="inlineStr">
        <is>
          <t>월세</t>
        </is>
      </c>
      <c r="F711" s="4" t="n">
        <v>3500</v>
      </c>
      <c r="G711" s="4" t="n">
        <v>330</v>
      </c>
      <c r="H711" s="4" t="n">
        <v>1221</v>
      </c>
      <c r="I711" s="4" t="n">
        <v>369</v>
      </c>
      <c r="J711" s="5" t="n">
        <v>0.9</v>
      </c>
      <c r="K711" s="4" t="n">
        <v>487</v>
      </c>
      <c r="L711" s="4" t="n">
        <v>147</v>
      </c>
      <c r="M711" s="5" t="n">
        <v>2.2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HYPERLINK("https://fin.land.naver.com/articles/2651887707", "매물Link")</f>
        <v/>
      </c>
      <c r="R711" s="6">
        <f>HYPERLINK("https://map.naver.com/p/search/현도면 중삼리 193-2", "지도Link")</f>
        <v/>
      </c>
      <c r="S711" s="6">
        <f>HYPERLINK("http://www.eum.go.kr/web/ar/lu/luLandDet.jsp?pnu=4311232022101930002&amp;isNoScr=script&amp;mode=search", "토지이음")</f>
        <v/>
      </c>
      <c r="T711" s="3" t="inlineStr">
        <is>
          <t>KS</t>
        </is>
      </c>
      <c r="U711" s="4" t="n">
        <v>1</v>
      </c>
      <c r="V711" s="5" t="n">
        <v>50</v>
      </c>
      <c r="W711" s="4" t="n">
        <v>1221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-</t>
        </is>
      </c>
      <c r="P712" s="3" t="inlineStr">
        <is>
          <t>남청주IC 5분, 주요도시로 이동이 편리한 층고 높은 신축공장</t>
        </is>
      </c>
      <c r="Q712" s="6">
        <f>HYPERLINK("https://fin.land.naver.com/articles/2653576391",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B1</t>
        </is>
      </c>
      <c r="P713" s="3" t="inlineStr">
        <is>
          <t>신축 공장 건물4개동 사무실 별도 민원없는 지역 층고 높고 전력300K</t>
        </is>
      </c>
      <c r="Q713" s="6">
        <f>HYPERLINK("https://fin.land.naver.com/articles/2651935397",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대전토지로무소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213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650000</v>
      </c>
      <c r="G714" s="4" t="n">
        <v>0</v>
      </c>
      <c r="H714" s="4" t="n">
        <v>5702</v>
      </c>
      <c r="I714" s="4" t="n">
        <v>1725</v>
      </c>
      <c r="J714" s="5" t="n">
        <v>376.8</v>
      </c>
      <c r="K714" s="4" t="n">
        <v>890</v>
      </c>
      <c r="L714" s="4" t="n">
        <v>269</v>
      </c>
      <c r="M714" s="5" t="n">
        <v>2416.4</v>
      </c>
      <c r="N714" s="3" t="inlineStr">
        <is>
          <t>1</t>
        </is>
      </c>
      <c r="O714" s="3" t="inlineStr">
        <is>
          <t>-</t>
        </is>
      </c>
      <c r="P714" s="3" t="inlineStr">
        <is>
          <t>남청주 현도면에 위치한 신축 공장 매매</t>
        </is>
      </c>
      <c r="Q714" s="6">
        <f>HYPERLINK("https://fin.land.naver.com/articles/2651107587", "매물Link")</f>
        <v/>
      </c>
      <c r="R714" s="6">
        <f>HYPERLINK("https://map.naver.com/p/search/현도면 중삼리 213", "지도Link")</f>
        <v/>
      </c>
      <c r="S714" s="6">
        <f>HYPERLINK("http://www.eum.go.kr/web/ar/lu/luLandDet.jsp?pnu=4311232022102130000&amp;isNoScr=script&amp;mode=search", "토지이음")</f>
        <v/>
      </c>
      <c r="T714" s="3" t="inlineStr">
        <is>
          <t>대지</t>
        </is>
      </c>
      <c r="U714" s="4" t="n">
        <v>1</v>
      </c>
      <c r="V714" s="5" t="n">
        <v>48.1</v>
      </c>
      <c r="W714" s="4" t="n">
        <v>5702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실사진0k 층고7.5m 대형창고 단독사용가능하며 앞 마당 넓음</t>
        </is>
      </c>
      <c r="Q715" s="6">
        <f>HYPERLINK("https://fin.land.naver.com/articles/2655034783",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이음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245-1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월세</t>
        </is>
      </c>
      <c r="F717" s="4" t="n">
        <v>2000</v>
      </c>
      <c r="G717" s="4" t="n">
        <v>300</v>
      </c>
      <c r="H717" s="4" t="n">
        <v>1987</v>
      </c>
      <c r="I717" s="4" t="n">
        <v>601</v>
      </c>
      <c r="J717" s="5" t="n">
        <v>0.5</v>
      </c>
      <c r="K717" s="4" t="n">
        <v>424</v>
      </c>
      <c r="L717" s="4" t="n">
        <v>128</v>
      </c>
      <c r="M717" s="5" t="n">
        <v>2.3</v>
      </c>
      <c r="N717" s="3" t="inlineStr">
        <is>
          <t>1</t>
        </is>
      </c>
      <c r="O717" s="3" t="inlineStr">
        <is>
          <t>-</t>
        </is>
      </c>
      <c r="P717" s="3" t="inlineStr">
        <is>
          <t>건물 129형 대지600형 단독건물 2종근생제조업</t>
        </is>
      </c>
      <c r="Q717" s="6">
        <f>HYPERLINK("https://fin.land.naver.com/articles/2652949751", "매물Link")</f>
        <v/>
      </c>
      <c r="R717" s="6">
        <f>HYPERLINK("https://map.naver.com/p/search/현도면 중삼리 245-1", "지도Link")</f>
        <v/>
      </c>
      <c r="S717" s="6">
        <f>HYPERLINK("http://www.eum.go.kr/web/ar/lu/luLandDet.jsp?pnu=4311232022102450001&amp;isNoScr=script&amp;mode=search", "토지이음")</f>
        <v/>
      </c>
      <c r="T717" s="3" t="inlineStr">
        <is>
          <t>위더스</t>
        </is>
      </c>
      <c r="U717" s="4" t="n">
        <v>1</v>
      </c>
      <c r="V717" s="5" t="n">
        <v>52.9</v>
      </c>
      <c r="W717" s="4" t="n">
        <v>1860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4563</v>
      </c>
      <c r="I718" s="4" t="n">
        <v>1380</v>
      </c>
      <c r="J718" s="5" t="n">
        <v>217.4</v>
      </c>
      <c r="K718" s="4" t="n">
        <v>986</v>
      </c>
      <c r="L718" s="4" t="n">
        <v>298</v>
      </c>
      <c r="M718" s="5" t="n">
        <v>1006.7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7분거리 공장2동 넓은 마당 호이스트설치 층고10.9m</t>
        </is>
      </c>
      <c r="Q718" s="6">
        <f>HYPERLINK("https://fin.land.naver.com/articles/2651782064",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더원</t>
        </is>
      </c>
      <c r="U718" s="4" t="n">
        <v>1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290-1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매매</t>
        </is>
      </c>
      <c r="F719" s="4" t="n">
        <v>300000</v>
      </c>
      <c r="G719" s="4" t="n">
        <v>0</v>
      </c>
      <c r="H719" s="4" t="n">
        <v>4298</v>
      </c>
      <c r="I719" s="4" t="n">
        <v>1300</v>
      </c>
      <c r="J719" s="5" t="n">
        <v>230.8</v>
      </c>
      <c r="K719" s="4" t="n">
        <v>1076</v>
      </c>
      <c r="L719" s="4" t="n">
        <v>325</v>
      </c>
      <c r="M719" s="5" t="n">
        <v>923.1</v>
      </c>
      <c r="N719" s="3" t="inlineStr">
        <is>
          <t>1</t>
        </is>
      </c>
      <c r="O719" s="3" t="inlineStr">
        <is>
          <t>-</t>
        </is>
      </c>
      <c r="P719" s="3" t="inlineStr">
        <is>
          <t>남청주IC 7분, 경부고속도로 접근성 좋은 공장매매</t>
        </is>
      </c>
      <c r="Q719" s="6">
        <f>HYPERLINK("https://fin.land.naver.com/articles/2655824558", "매물Link")</f>
        <v/>
      </c>
      <c r="R719" s="6">
        <f>HYPERLINK("https://map.naver.com/p/search/현도면 중삼리 290-1", "지도Link")</f>
        <v/>
      </c>
      <c r="S719" s="6">
        <f>HYPERLINK("http://www.eum.go.kr/web/ar/lu/luLandDet.jsp?pnu=4311232022102900001&amp;isNoScr=script&amp;mode=search", "토지이음")</f>
        <v/>
      </c>
      <c r="T719" s="3" t="inlineStr">
        <is>
          <t>청담</t>
        </is>
      </c>
      <c r="U719" s="4" t="n">
        <v>2</v>
      </c>
      <c r="V719" s="5" t="n">
        <v>48.9</v>
      </c>
      <c r="W719" s="4" t="n">
        <v>4298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공장</t>
        </is>
      </c>
      <c r="E721" s="3" t="inlineStr">
        <is>
          <t>매매</t>
        </is>
      </c>
      <c r="F721" s="4" t="n">
        <v>151000</v>
      </c>
      <c r="G721" s="4" t="n">
        <v>0</v>
      </c>
      <c r="H721" s="4" t="n">
        <v>2525</v>
      </c>
      <c r="I721" s="4" t="n">
        <v>764</v>
      </c>
      <c r="J721" s="5" t="n">
        <v>197.6</v>
      </c>
      <c r="K721" s="4" t="n">
        <v>382</v>
      </c>
      <c r="L721" s="4" t="n">
        <v>116</v>
      </c>
      <c r="M721" s="5" t="n">
        <v>1301.7</v>
      </c>
      <c r="N721" s="3" t="inlineStr">
        <is>
          <t>1</t>
        </is>
      </c>
      <c r="O721" s="3" t="inlineStr">
        <is>
          <t>-</t>
        </is>
      </c>
      <c r="P721" s="3" t="inlineStr">
        <is>
          <t>자원순환시설  사무실별도있음</t>
        </is>
      </c>
      <c r="Q721" s="6">
        <f>HYPERLINK("https://fin.land.naver.com/articles/2655448587",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THE행복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297-12</t>
        </is>
      </c>
      <c r="B722" s="3" t="inlineStr">
        <is>
          <t>계획관리지역</t>
        </is>
      </c>
      <c r="C722" s="3" t="inlineStr">
        <is>
          <t>잡종지</t>
        </is>
      </c>
      <c r="D722" s="3" t="inlineStr">
        <is>
          <t>기타</t>
        </is>
      </c>
      <c r="E722" s="3" t="inlineStr">
        <is>
          <t>매매</t>
        </is>
      </c>
      <c r="F722" s="4" t="n">
        <v>150000</v>
      </c>
      <c r="G722" s="4" t="n">
        <v>0</v>
      </c>
      <c r="H722" s="4" t="n">
        <v>2167</v>
      </c>
      <c r="I722" s="4" t="n">
        <v>656</v>
      </c>
      <c r="J722" s="5" t="n">
        <v>228.7</v>
      </c>
      <c r="K722" s="4" t="n">
        <v>431</v>
      </c>
      <c r="L722" s="4" t="n">
        <v>130</v>
      </c>
      <c r="M722" s="5" t="n">
        <v>1153.8</v>
      </c>
      <c r="N722" s="3" t="inlineStr">
        <is>
          <t>1</t>
        </is>
      </c>
      <c r="O722" s="3" t="inlineStr">
        <is>
          <t>-</t>
        </is>
      </c>
      <c r="P722" s="3" t="inlineStr">
        <is>
          <t>민원 걱정없는 고물상, 재활용 폐기물처리장 등 자원순환관련시설 매매,임대</t>
        </is>
      </c>
      <c r="Q722" s="6">
        <f>HYPERLINK("https://fin.land.naver.com/articles/2655969273", "매물Link")</f>
        <v/>
      </c>
      <c r="R722" s="6">
        <f>HYPERLINK("https://map.naver.com/p/search/현도면 중삼리 297-12", "지도Link")</f>
        <v/>
      </c>
      <c r="S722" s="6">
        <f>HYPERLINK("http://www.eum.go.kr/web/ar/lu/luLandDet.jsp?pnu=4311232022102970012&amp;isNoScr=script&amp;mode=search", "토지이음")</f>
        <v/>
      </c>
      <c r="T722" s="3" t="inlineStr">
        <is>
          <t>청담</t>
        </is>
      </c>
      <c r="U722" s="4" t="n">
        <v>1</v>
      </c>
      <c r="V722" s="5" t="n">
        <v>48.9</v>
      </c>
      <c r="W722" s="4" t="n">
        <v>2167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297-5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180000</v>
      </c>
      <c r="G723" s="4" t="n">
        <v>0</v>
      </c>
      <c r="H723" s="4" t="n">
        <v>4959</v>
      </c>
      <c r="I723" s="4" t="n">
        <v>1500</v>
      </c>
      <c r="J723" s="5" t="n">
        <v>120</v>
      </c>
      <c r="K723" s="4" t="n">
        <v>745</v>
      </c>
      <c r="L723" s="4" t="n">
        <v>225</v>
      </c>
      <c r="M723" s="5" t="n">
        <v>800</v>
      </c>
      <c r="N723" s="3" t="inlineStr">
        <is>
          <t>1</t>
        </is>
      </c>
      <c r="O723" s="3" t="inlineStr">
        <is>
          <t>-</t>
        </is>
      </c>
      <c r="P723" s="3" t="inlineStr">
        <is>
          <t>사진O,현도면공장매매.크레인설치.고압100kw.진입로문제해결완료</t>
        </is>
      </c>
      <c r="Q723" s="6">
        <f>HYPERLINK("https://fin.land.naver.com/articles/2652109972", "매물Link")</f>
        <v/>
      </c>
      <c r="R723" s="6">
        <f>HYPERLINK("https://map.naver.com/p/search/현도면 중삼리 297-5", "지도Link")</f>
        <v/>
      </c>
      <c r="S723" s="6">
        <f>HYPERLINK("http://www.eum.go.kr/web/ar/lu/luLandDet.jsp?pnu=4311232022102970005&amp;isNoScr=script&amp;mode=search", "토지이음")</f>
        <v/>
      </c>
      <c r="T723" s="3" t="inlineStr">
        <is>
          <t>월드</t>
        </is>
      </c>
      <c r="U723" s="4" t="n">
        <v>1</v>
      </c>
      <c r="V723" s="5" t="n">
        <v>48.9</v>
      </c>
      <c r="W723" s="4" t="n">
        <v>4959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298-4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3471</v>
      </c>
      <c r="I724" s="4" t="n">
        <v>1050</v>
      </c>
      <c r="J724" s="5" t="n">
        <v>219</v>
      </c>
      <c r="K724" s="4" t="n">
        <v>1256</v>
      </c>
      <c r="L724" s="4" t="n">
        <v>380</v>
      </c>
      <c r="M724" s="5" t="n">
        <v>605.3</v>
      </c>
      <c r="N724" s="3" t="inlineStr">
        <is>
          <t>1</t>
        </is>
      </c>
      <c r="O724" s="3" t="inlineStr">
        <is>
          <t>-</t>
        </is>
      </c>
      <c r="P724" s="3" t="inlineStr">
        <is>
          <t>1. 남청주IC 4k, 진입도로 6m 2. 공장 380p</t>
        </is>
      </c>
      <c r="Q724" s="6">
        <f>HYPERLINK("https://fin.land.naver.com/articles/2651358267", "매물Link")</f>
        <v/>
      </c>
      <c r="R724" s="6">
        <f>HYPERLINK("https://map.naver.com/p/search/현도면 중삼리 298-4", "지도Link")</f>
        <v/>
      </c>
      <c r="S724" s="6">
        <f>HYPERLINK("http://www.eum.go.kr/web/ar/lu/luLandDet.jsp?pnu=4311232022102980004&amp;isNoScr=script&amp;mode=search", "토지이음")</f>
        <v/>
      </c>
      <c r="T724" s="3" t="inlineStr">
        <is>
          <t>성공</t>
        </is>
      </c>
      <c r="U724" s="4" t="n">
        <v>1</v>
      </c>
      <c r="V724" s="5" t="n">
        <v>46.5</v>
      </c>
      <c r="W724" s="4" t="n">
        <v>2692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322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1300000</v>
      </c>
      <c r="G725" s="4" t="n">
        <v>0</v>
      </c>
      <c r="H725" s="4" t="n">
        <v>17370</v>
      </c>
      <c r="I725" s="4" t="n">
        <v>5254</v>
      </c>
      <c r="J725" s="5" t="n">
        <v>247.4</v>
      </c>
      <c r="K725" s="4" t="n">
        <v>4697</v>
      </c>
      <c r="L725" s="4" t="n">
        <v>1421</v>
      </c>
      <c r="M725" s="5" t="n">
        <v>914.8</v>
      </c>
      <c r="N725" s="3" t="inlineStr">
        <is>
          <t>2</t>
        </is>
      </c>
      <c r="O725" s="3" t="inlineStr">
        <is>
          <t>-</t>
        </is>
      </c>
      <c r="P725" s="3" t="inlineStr">
        <is>
          <t>민원 소지없는 단독 공장입니다</t>
        </is>
      </c>
      <c r="Q725" s="6">
        <f>HYPERLINK("https://fin.land.naver.com/articles/2653059502", "매물Link")</f>
        <v/>
      </c>
      <c r="R725" s="6">
        <f>HYPERLINK("https://map.naver.com/p/search/현도면 중삼리 322", "지도Link")</f>
        <v/>
      </c>
      <c r="S725" s="6">
        <f>HYPERLINK("http://www.eum.go.kr/web/ar/lu/luLandDet.jsp?pnu=4311232022103220000&amp;isNoScr=script&amp;mode=search", "토지이음")</f>
        <v/>
      </c>
      <c r="T725" s="3" t="inlineStr">
        <is>
          <t>복댕이</t>
        </is>
      </c>
      <c r="U725" s="4" t="n">
        <v>1</v>
      </c>
      <c r="V725" s="5" t="n">
        <v>58.8</v>
      </c>
      <c r="W725" s="4" t="n">
        <v>17686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소로한면</t>
        </is>
      </c>
    </row>
    <row r="726">
      <c r="A726" s="3" t="inlineStr">
        <is>
          <t>현도면 중삼리 38</t>
        </is>
      </c>
      <c r="B726" s="3" t="inlineStr">
        <is>
          <t>계획관리지역</t>
        </is>
      </c>
      <c r="C726" s="3" t="inlineStr">
        <is>
          <t>공장용지</t>
        </is>
      </c>
      <c r="D726" s="3" t="inlineStr">
        <is>
          <t>공장</t>
        </is>
      </c>
      <c r="E726" s="3" t="inlineStr">
        <is>
          <t>매매</t>
        </is>
      </c>
      <c r="F726" s="4" t="n">
        <v>230000</v>
      </c>
      <c r="G726" s="4" t="n">
        <v>0</v>
      </c>
      <c r="H726" s="4" t="n">
        <v>4168</v>
      </c>
      <c r="I726" s="4" t="n">
        <v>1261</v>
      </c>
      <c r="J726" s="5" t="n">
        <v>182.4</v>
      </c>
      <c r="K726" s="4" t="n">
        <v>1310</v>
      </c>
      <c r="L726" s="4" t="n">
        <v>396</v>
      </c>
      <c r="M726" s="5" t="n">
        <v>580.8</v>
      </c>
      <c r="N726" s="3" t="inlineStr">
        <is>
          <t>1</t>
        </is>
      </c>
      <c r="O726" s="3" t="inlineStr">
        <is>
          <t>-</t>
        </is>
      </c>
      <c r="P726" s="3" t="inlineStr">
        <is>
          <t>nan</t>
        </is>
      </c>
      <c r="Q726" s="6">
        <f>HYPERLINK("https://fin.land.naver.com/articles/2651246024", "매물Link")</f>
        <v/>
      </c>
      <c r="R726" s="6">
        <f>HYPERLINK("https://map.naver.com/p/search/현도면 중삼리 38", "지도Link")</f>
        <v/>
      </c>
      <c r="S726" s="6">
        <f>HYPERLINK("http://www.eum.go.kr/web/ar/lu/luLandDet.jsp?pnu=4311232022100380000&amp;isNoScr=script&amp;mode=search", "토지이음")</f>
        <v/>
      </c>
      <c r="T726" s="3" t="inlineStr">
        <is>
          <t>대웅</t>
        </is>
      </c>
      <c r="U726" s="4" t="n">
        <v>1</v>
      </c>
      <c r="V726" s="5" t="n">
        <v>52.7</v>
      </c>
      <c r="W726" s="4" t="n">
        <v>2107</v>
      </c>
      <c r="X726" s="3" t="inlineStr">
        <is>
          <t>대장없음</t>
        </is>
      </c>
      <c r="Y726" s="7" t="inlineStr">
        <is>
          <t>대장없음</t>
        </is>
      </c>
      <c r="Z726" s="3" t="inlineStr">
        <is>
          <t>대장없음</t>
        </is>
      </c>
      <c r="AA726" s="3" t="inlineStr">
        <is>
          <t>대장없음</t>
        </is>
      </c>
      <c r="AB726" s="3" t="inlineStr">
        <is>
          <t>대장없음</t>
        </is>
      </c>
      <c r="AC726" s="3" t="inlineStr">
        <is>
          <t>대장없음</t>
        </is>
      </c>
      <c r="AD726" s="3" t="inlineStr">
        <is>
          <t>세로한면(가)</t>
        </is>
      </c>
    </row>
    <row r="727">
      <c r="A727" s="3" t="inlineStr">
        <is>
          <t>현도면 중삼리 38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</t>
        </is>
      </c>
      <c r="E727" s="3" t="inlineStr">
        <is>
          <t>월세</t>
        </is>
      </c>
      <c r="F727" s="4" t="n">
        <v>7000</v>
      </c>
      <c r="G727" s="4" t="n">
        <v>700</v>
      </c>
      <c r="H727" s="4" t="n">
        <v>4168</v>
      </c>
      <c r="I727" s="4" t="n">
        <v>1261</v>
      </c>
      <c r="J727" s="5" t="n">
        <v>0.6</v>
      </c>
      <c r="K727" s="4" t="n">
        <v>1310</v>
      </c>
      <c r="L727" s="4" t="n">
        <v>396</v>
      </c>
      <c r="M727" s="5" t="n">
        <v>1.8</v>
      </c>
      <c r="N727" s="3" t="inlineStr">
        <is>
          <t>1</t>
        </is>
      </c>
      <c r="O727" s="3" t="inlineStr">
        <is>
          <t>-</t>
        </is>
      </c>
      <c r="P727" s="3" t="inlineStr">
        <is>
          <t>사진有 공장 임대</t>
        </is>
      </c>
      <c r="Q727" s="6">
        <f>HYPERLINK("https://fin.land.naver.com/articles/2652988753", "매물Link")</f>
        <v/>
      </c>
      <c r="R727" s="6">
        <f>HYPERLINK("https://map.naver.com/p/search/현도면 중삼리 38", "지도Link")</f>
        <v/>
      </c>
      <c r="S727" s="6">
        <f>HYPERLINK("http://www.eum.go.kr/web/ar/lu/luLandDet.jsp?pnu=4311232022100380000&amp;isNoScr=script&amp;mode=search", "토지이음")</f>
        <v/>
      </c>
      <c r="T727" s="3" t="inlineStr">
        <is>
          <t>월드</t>
        </is>
      </c>
      <c r="U727" s="4" t="n">
        <v>1</v>
      </c>
      <c r="V727" s="5" t="n">
        <v>52.7</v>
      </c>
      <c r="W727" s="4" t="n">
        <v>2107</v>
      </c>
      <c r="X727" s="3" t="inlineStr">
        <is>
          <t>대장없음</t>
        </is>
      </c>
      <c r="Y727" s="7" t="inlineStr">
        <is>
          <t>대장없음</t>
        </is>
      </c>
      <c r="Z727" s="3" t="inlineStr">
        <is>
          <t>대장없음</t>
        </is>
      </c>
      <c r="AA727" s="3" t="inlineStr">
        <is>
          <t>대장없음</t>
        </is>
      </c>
      <c r="AB727" s="3" t="inlineStr">
        <is>
          <t>대장없음</t>
        </is>
      </c>
      <c r="AC727" s="3" t="inlineStr">
        <is>
          <t>대장없음</t>
        </is>
      </c>
      <c r="AD727" s="3" t="inlineStr">
        <is>
          <t>세로한면(가)</t>
        </is>
      </c>
    </row>
  </sheetData>
  <autoFilter ref="A1:AD7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163</v>
      </c>
      <c r="M33" s="4" t="n">
        <v>49</v>
      </c>
      <c r="N33" s="5" t="n">
        <v>1489.8</v>
      </c>
      <c r="O33" s="3" t="inlineStr">
        <is>
          <t>수익률우수.급매,아파트인근,대학인근,공원,인근 ,노후대책.</t>
        </is>
      </c>
      <c r="P33" s="6">
        <f>HYPERLINK("https://fin.land.naver.com/articles/2652054747",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호반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163</v>
      </c>
      <c r="J34" s="4" t="n">
        <v>49</v>
      </c>
      <c r="K34" s="5" t="n">
        <v>1326.5</v>
      </c>
      <c r="L34" s="4" t="n">
        <v>486</v>
      </c>
      <c r="M34" s="4" t="n">
        <v>147</v>
      </c>
      <c r="N34" s="5" t="n">
        <v>442.2</v>
      </c>
      <c r="O34" s="3" t="inlineStr">
        <is>
          <t>충청대앞 입지최고 공실없이 수익률이 좋은매물</t>
        </is>
      </c>
      <c r="P34" s="6">
        <f>HYPERLINK("https://fin.land.naver.com/articles/2654622488",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 정문 수익률좋은 다가구</t>
        </is>
      </c>
      <c r="P36" s="6">
        <f>HYPERLINK("https://fin.land.naver.com/articles/2654718388",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e교차로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65000</v>
      </c>
      <c r="H38" s="4" t="n">
        <v>0</v>
      </c>
      <c r="I38" s="4" t="n">
        <v>277</v>
      </c>
      <c r="J38" s="4" t="n">
        <v>84</v>
      </c>
      <c r="K38" s="5" t="n">
        <v>773.8</v>
      </c>
      <c r="L38" s="4" t="n">
        <v>489</v>
      </c>
      <c r="M38" s="4" t="n">
        <v>148</v>
      </c>
      <c r="N38" s="5" t="n">
        <v>439.2</v>
      </c>
      <c r="O38" s="3" t="inlineStr">
        <is>
          <t>충청대 바로앞 위치좋고 수익율 좋은 상가주택 매매,사거리 코너위치</t>
        </is>
      </c>
      <c r="P38" s="6">
        <f>HYPERLINK("https://fin.land.naver.com/articles/2653090046",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시원합동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교원대와 하이테크밸리근접으로 공실없이 운영중 ,가격협의가능</t>
        </is>
      </c>
      <c r="P52" s="6">
        <f>HYPERLINK("https://fin.land.naver.com/articles/2656160701",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담뜰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신축 단독주택, 화이트톤 깔끔, 올에어컨, 친환경 ACL주택</t>
        </is>
      </c>
      <c r="P83" s="6">
        <f>HYPERLINK("https://fin.land.naver.com/articles/2653689527",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HYPERLINK("https://fin.land.naver.com/articles/2651773887",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목조주택,최신인테리어고급형주택,완공5년,주인거주 관리잘된집,상권가까워요</t>
        </is>
      </c>
      <c r="P96" s="6">
        <f>HYPERLINK("https://fin.land.naver.com/articles/2656160477",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스마일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코너각지 관리최상 목조 고급주택 조율가능</t>
        </is>
      </c>
      <c r="P97" s="6">
        <f>HYPERLINK("https://fin.land.naver.com/articles/2656213879",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조망좋고 위치좋은 정남향 단독주택 방4개 실용적인구조 철콘주택</t>
        </is>
      </c>
      <c r="P100" s="6">
        <f>HYPERLINK("https://fin.land.naver.com/articles/2656449762",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세종스타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코너 남향 조경및내부시설 최상  다이닝룸 마당과 공원연결</t>
        </is>
      </c>
      <c r="P104" s="6">
        <f>HYPERLINK("https://fin.land.naver.com/articles/2653746780",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백프로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협의입주, 시스템에어컨풀, 풀옵션, 조용한동으로 뷰좋은집</t>
        </is>
      </c>
      <c r="P118" s="6">
        <f>HYPERLINK("https://fin.land.naver.com/articles/2654798829",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리브</t>
        </is>
      </c>
      <c r="T118" s="4" t="n">
        <v>2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급매,C타입,주인거주로집상태좋음.</t>
        </is>
      </c>
      <c r="P119" s="6">
        <f>HYPERLINK("https://fin.land.naver.com/articles/2653085610",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세종황소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인기C타입 마당넓음 탁트인조망 넓은3층면적</t>
        </is>
      </c>
      <c r="P120" s="6">
        <f>HYPERLINK("https://fin.land.naver.com/articles/2651086449",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입지좋은 타운하우스매매, A타입, 온빛초, 정남향</t>
        </is>
      </c>
      <c r="P121" s="6">
        <f>HYPERLINK("https://fin.land.naver.com/articles/2652815452",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유럽마을 C타입  관리상태좋음  학교 근린생활시설가까운 입지 최고 단지</t>
        </is>
      </c>
      <c r="P123" s="6">
        <f>HYPERLINK("https://fin.land.naver.com/articles/2652588602",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고운힐스테이트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356</v>
      </c>
      <c r="J124" s="4" t="n">
        <v>108</v>
      </c>
      <c r="K124" s="5" t="n">
        <v>1181.5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HYPERLINK("https://fin.land.naver.com/articles/2651673384",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HYPERLINK("https://fin.land.naver.com/articles/2651672445",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C타입 타운하우스, 급매, 입지 굿, 학교 인접, 협의입주</t>
        </is>
      </c>
      <c r="P126" s="6">
        <f>HYPERLINK("https://fin.land.naver.com/articles/2654939086",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초품아, 거주 만족도 높은  관리최상  매물, 협의입주</t>
        </is>
      </c>
      <c r="P129" s="6">
        <f>HYPERLINK("https://fin.land.naver.com/articles/2654558667",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131400</v>
      </c>
      <c r="H130" s="4" t="n">
        <v>0</v>
      </c>
      <c r="I130" s="4" t="n">
        <v>370</v>
      </c>
      <c r="J130" s="4" t="n">
        <v>112</v>
      </c>
      <c r="K130" s="5" t="n">
        <v>1173.2</v>
      </c>
      <c r="L130" s="4" t="n">
        <v>224</v>
      </c>
      <c r="M130" s="4" t="n">
        <v>68</v>
      </c>
      <c r="N130" s="5" t="n">
        <v>1932.4</v>
      </c>
      <c r="O130" s="3" t="inlineStr">
        <is>
          <t>아르티엠 더블랙 선임대 완료 급매</t>
        </is>
      </c>
      <c r="P130" s="6">
        <f>HYPERLINK("https://fin.land.naver.com/articles/2651673423",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입지좋은 타운하우스매매, C타입, 온빛초, 정남향</t>
        </is>
      </c>
      <c r="P131" s="6">
        <f>HYPERLINK("https://fin.land.naver.com/articles/2655132311",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404</v>
      </c>
      <c r="J132" s="4" t="n">
        <v>122</v>
      </c>
      <c r="K132" s="5" t="n">
        <v>1311.5</v>
      </c>
      <c r="L132" s="4" t="n">
        <v>253</v>
      </c>
      <c r="M132" s="4" t="n">
        <v>77</v>
      </c>
      <c r="N132" s="5" t="n">
        <v>2077.9</v>
      </c>
      <c r="O132" s="3" t="inlineStr">
        <is>
          <t>프라이빗 코너 호수의 완벽한 유럽풍 라이프</t>
        </is>
      </c>
      <c r="P132" s="6">
        <f>HYPERLINK("https://fin.land.naver.com/articles/2654054184",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192</v>
      </c>
      <c r="J134" s="4" t="n">
        <v>58</v>
      </c>
      <c r="K134" s="5" t="n">
        <v>1379.3</v>
      </c>
      <c r="L134" s="4" t="n">
        <v>192</v>
      </c>
      <c r="M134" s="4" t="n">
        <v>58</v>
      </c>
      <c r="N134" s="5" t="n">
        <v>1379.3</v>
      </c>
      <c r="O134" s="3" t="inlineStr">
        <is>
          <t>고급 타운하우스 전세, 월세도 가능, 협의 입주 가능</t>
        </is>
      </c>
      <c r="P134" s="6">
        <f>HYPERLINK("https://fin.land.naver.com/articles/2654220722",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1379.3</v>
      </c>
      <c r="O135" s="3" t="inlineStr">
        <is>
          <t>신축급 파크힐즈 방4개 욕실3개 월세가능 5억150</t>
        </is>
      </c>
      <c r="P135" s="6">
        <f>HYPERLINK("https://fin.land.naver.com/articles/2654654333",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150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2.6</v>
      </c>
      <c r="O136" s="3" t="inlineStr">
        <is>
          <t>고급주택 파크힐즈 신축급 방4개 욕실3개 전세8억</t>
        </is>
      </c>
      <c r="P136" s="6">
        <f>HYPERLINK("https://fin.land.naver.com/articles/2654654360",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한옥매매, 방2개, 화장실2개, 지하 방으로 사용가능</t>
        </is>
      </c>
      <c r="P137" s="6">
        <f>HYPERLINK("https://fin.land.naver.com/articles/2653889844",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 추가조율가능 단층 한옥주택 방2개 지하있음</t>
        </is>
      </c>
      <c r="P138" s="6">
        <f>HYPERLINK("https://fin.land.naver.com/articles/2653676438",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급매가격조율지하 멀티룸과 성큰 테라스를 품은 명품 한옥 매매</t>
        </is>
      </c>
      <c r="P140" s="6">
        <f>HYPERLINK("https://fin.land.naver.com/articles/2655488973",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찬스</t>
        </is>
      </c>
      <c r="T140" s="4" t="n">
        <v>2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희소성 높은 한옥 매매, 학군과 입지 좋은 위치</t>
        </is>
      </c>
      <c r="P142" s="6">
        <f>HYPERLINK("https://fin.land.naver.com/articles/2650893231",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한옥마을매매, 시립도서관, 온빛유.초 인접, 급매</t>
        </is>
      </c>
      <c r="P143" s="6">
        <f>HYPERLINK("https://fin.land.naver.com/articles/2651945527",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nan</t>
        </is>
      </c>
      <c r="P144" s="6">
        <f>HYPERLINK("https://fin.land.naver.com/articles/2652918003",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조율가능 2층한옥 벙커주차장 지하있음 방3개 욕실3개 홈바</t>
        </is>
      </c>
      <c r="P147" s="6">
        <f>HYPERLINK("https://fin.land.naver.com/articles/2656407754",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48000</v>
      </c>
      <c r="H150" s="4" t="n">
        <v>0</v>
      </c>
      <c r="I150" s="4" t="n">
        <v>141</v>
      </c>
      <c r="J150" s="4" t="n">
        <v>43</v>
      </c>
      <c r="K150" s="5" t="n">
        <v>1116.3</v>
      </c>
      <c r="L150" s="4" t="n">
        <v>141</v>
      </c>
      <c r="M150" s="4" t="n">
        <v>43</v>
      </c>
      <c r="N150" s="5" t="n">
        <v>1116.3</v>
      </c>
      <c r="O150" s="3" t="inlineStr">
        <is>
          <t>세종백화, 에어컨4, 오븐, 인덕션1, 하이라이트1, 금액조정 가능</t>
        </is>
      </c>
      <c r="P150" s="6">
        <f>HYPERLINK("https://fin.land.naver.com/articles/2651471708",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141</v>
      </c>
      <c r="J152" s="4" t="n">
        <v>43</v>
      </c>
      <c r="K152" s="5" t="n">
        <v>1855.8</v>
      </c>
      <c r="L152" s="4" t="n">
        <v>141</v>
      </c>
      <c r="M152" s="4" t="n">
        <v>43</v>
      </c>
      <c r="N152" s="5" t="n">
        <v>1855.8</v>
      </c>
      <c r="O152" s="3" t="inlineStr">
        <is>
          <t>고운동 단독주택 급매, 정원, 다락, 금액조절가능</t>
        </is>
      </c>
      <c r="P152" s="6">
        <f>HYPERLINK("https://fin.land.naver.com/articles/2651472215",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협의입주 고운동리치먼드힐타운하우스급매</t>
        </is>
      </c>
      <c r="P153" s="6">
        <f>HYPERLINK("https://fin.land.naver.com/articles/2651811295",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고운동리치세종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월세</t>
        </is>
      </c>
      <c r="G154" s="4" t="n">
        <v>50000</v>
      </c>
      <c r="H154" s="4" t="n">
        <v>350</v>
      </c>
      <c r="I154" s="4" t="n">
        <v>0</v>
      </c>
      <c r="J154" s="4" t="n">
        <v>0</v>
      </c>
      <c r="K154" s="5" t="n">
        <v>0</v>
      </c>
      <c r="L154" s="4" t="n">
        <v>405</v>
      </c>
      <c r="M154" s="4" t="n">
        <v>123</v>
      </c>
      <c r="N154" s="5" t="n">
        <v>2.8</v>
      </c>
      <c r="O154" s="3" t="inlineStr">
        <is>
          <t>엘리베이터 있는 3층 타운하우스,공기좋고 조용한곳 찿으시는 분께 추천</t>
        </is>
      </c>
      <c r="P154" s="6">
        <f>HYPERLINK("https://fin.land.naver.com/articles/2651126636",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세종대승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nan</t>
        </is>
      </c>
      <c r="P155" s="6">
        <f>HYPERLINK("https://fin.land.naver.com/articles/2653118606",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다정가온TOP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75</v>
      </c>
      <c r="J156" s="4" t="n">
        <v>23</v>
      </c>
      <c r="K156" s="5" t="n">
        <v>3469.6</v>
      </c>
      <c r="L156" s="4" t="n">
        <v>73</v>
      </c>
      <c r="M156" s="4" t="n">
        <v>22</v>
      </c>
      <c r="N156" s="5" t="n">
        <v>3627.3</v>
      </c>
      <c r="O156" s="3" t="inlineStr">
        <is>
          <t>급매,입주협의,고운동 단독주택,숲속 힐링 타운하우스</t>
        </is>
      </c>
      <c r="P156" s="6">
        <f>HYPERLINK("https://fin.land.naver.com/articles/2653212973",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세종현대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289</v>
      </c>
      <c r="J158" s="4" t="n">
        <v>87</v>
      </c>
      <c r="K158" s="5" t="n">
        <v>917.2</v>
      </c>
      <c r="L158" s="4" t="n">
        <v>15314</v>
      </c>
      <c r="M158" s="4" t="n">
        <v>4632</v>
      </c>
      <c r="N158" s="5" t="n">
        <v>17.2</v>
      </c>
      <c r="O158" s="3" t="inlineStr">
        <is>
          <t>급매,리치먼드힐1차,타운하우스, 테라스,복층</t>
        </is>
      </c>
      <c r="P158" s="6">
        <f>HYPERLINK("https://fin.land.naver.com/articles/2654152272",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o서초만땅o급매,협의입주,복층다락</t>
        </is>
      </c>
      <c r="P159" s="6">
        <f>HYPERLINK("https://fin.land.naver.com/articles/2656212485",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서초만땅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110000</v>
      </c>
      <c r="H161" s="4" t="n">
        <v>0</v>
      </c>
      <c r="I161" s="4" t="n">
        <v>15314</v>
      </c>
      <c r="J161" s="4" t="n">
        <v>4632</v>
      </c>
      <c r="K161" s="5" t="n">
        <v>23.7</v>
      </c>
      <c r="L161" s="4" t="n">
        <v>180</v>
      </c>
      <c r="M161" s="4" t="n">
        <v>54</v>
      </c>
      <c r="N161" s="5" t="n">
        <v>2037</v>
      </c>
      <c r="O161" s="3" t="inlineStr">
        <is>
          <t>주인거주로 관리잘된집, 협의입주, 모든 하자 완벽 수리</t>
        </is>
      </c>
      <c r="P161" s="6">
        <f>HYPERLINK("https://fin.land.naver.com/articles/2655850945",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명진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141</v>
      </c>
      <c r="M163" s="4" t="n">
        <v>43</v>
      </c>
      <c r="N163" s="5" t="n">
        <v>1093</v>
      </c>
      <c r="O163" s="3" t="inlineStr">
        <is>
          <t>e루다 융유,리치먼드1차,협의입주,탄력적조율,테라스,마당,복층,다락</t>
        </is>
      </c>
      <c r="P163" s="6">
        <f>HYPERLINK("https://fin.land.naver.com/articles/2654927686",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이루다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79800</v>
      </c>
      <c r="H164" s="4" t="n">
        <v>0</v>
      </c>
      <c r="I164" s="4" t="n">
        <v>15314</v>
      </c>
      <c r="J164" s="4" t="n">
        <v>4632</v>
      </c>
      <c r="K164" s="5" t="n">
        <v>17.2</v>
      </c>
      <c r="L164" s="4" t="n">
        <v>141</v>
      </c>
      <c r="M164" s="4" t="n">
        <v>43</v>
      </c>
      <c r="N164" s="5" t="n">
        <v>1855.8</v>
      </c>
      <c r="O164" s="3" t="inlineStr">
        <is>
          <t>e루다 급매,리치먼드1차,협의입주,적극조율,테라스,마당,복층,다락</t>
        </is>
      </c>
      <c r="P164" s="6">
        <f>HYPERLINK("https://fin.land.naver.com/articles/2655889637",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이루다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전원주택</t>
        </is>
      </c>
      <c r="F165" s="3" t="inlineStr">
        <is>
          <t>전세</t>
        </is>
      </c>
      <c r="G165" s="4" t="n">
        <v>47000</v>
      </c>
      <c r="H165" s="4" t="n">
        <v>0</v>
      </c>
      <c r="I165" s="4" t="n">
        <v>15314</v>
      </c>
      <c r="J165" s="4" t="n">
        <v>4632</v>
      </c>
      <c r="K165" s="5" t="n">
        <v>10.1</v>
      </c>
      <c r="L165" s="4" t="n">
        <v>181</v>
      </c>
      <c r="M165" s="4" t="n">
        <v>55</v>
      </c>
      <c r="N165" s="5" t="n">
        <v>854.5</v>
      </c>
      <c r="O165" s="3" t="inlineStr">
        <is>
          <t>리치먼드힐1차,타운하우스, 테라스,복층,</t>
        </is>
      </c>
      <c r="P165" s="6">
        <f>HYPERLINK("https://fin.land.naver.com/articles/2654151431",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확실한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더이상 저렴할 수 없다. 튼튼하게 내부 실용적있게 만들었어요.</t>
        </is>
      </c>
      <c r="P166" s="6">
        <f>HYPERLINK("https://fin.land.naver.com/articles/2655813962",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세종시에서 앞으로 찾기 힘든 분양 금액 , 내부구조 굿, 잔금일 협의가능</t>
        </is>
      </c>
      <c r="P167" s="6">
        <f>HYPERLINK("https://fin.land.naver.com/articles/2655815124",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129734</v>
      </c>
      <c r="H176" s="4" t="n">
        <v>0</v>
      </c>
      <c r="I176" s="4" t="n">
        <v>328</v>
      </c>
      <c r="J176" s="4" t="n">
        <v>99</v>
      </c>
      <c r="K176" s="5" t="n">
        <v>1310.4</v>
      </c>
      <c r="L176" s="4" t="n">
        <v>196</v>
      </c>
      <c r="M176" s="4" t="n">
        <v>59</v>
      </c>
      <c r="N176" s="5" t="n">
        <v>2198.9</v>
      </c>
      <c r="O176" s="3" t="inlineStr">
        <is>
          <t>즉시입주 가능,  인기많은 D타입,  총86p</t>
        </is>
      </c>
      <c r="P176" s="6">
        <f>HYPERLINK("https://fin.land.naver.com/articles/2651190293",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120000</v>
      </c>
      <c r="H177" s="4" t="n">
        <v>0</v>
      </c>
      <c r="I177" s="4" t="n">
        <v>286</v>
      </c>
      <c r="J177" s="4" t="n">
        <v>87</v>
      </c>
      <c r="K177" s="5" t="n">
        <v>1379.3</v>
      </c>
      <c r="L177" s="4" t="n">
        <v>196</v>
      </c>
      <c r="M177" s="4" t="n">
        <v>59</v>
      </c>
      <c r="N177" s="5" t="n">
        <v>2033.9</v>
      </c>
      <c r="O177" s="3" t="inlineStr">
        <is>
          <t>nan</t>
        </is>
      </c>
      <c r="P177" s="6">
        <f>HYPERLINK("https://fin.land.naver.com/articles/2656485995",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협의입주</t>
        </is>
      </c>
      <c r="P178" s="6">
        <f>HYPERLINK("https://fin.land.naver.com/articles/2655488427",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102000</v>
      </c>
      <c r="H180" s="4" t="n">
        <v>0</v>
      </c>
      <c r="I180" s="4" t="n">
        <v>299</v>
      </c>
      <c r="J180" s="4" t="n">
        <v>90</v>
      </c>
      <c r="K180" s="5" t="n">
        <v>1133.3</v>
      </c>
      <c r="L180" s="4" t="n">
        <v>171</v>
      </c>
      <c r="M180" s="4" t="n">
        <v>52</v>
      </c>
      <c r="N180" s="5" t="n">
        <v>1961.5</v>
      </c>
      <c r="O180" s="3" t="inlineStr">
        <is>
          <t>마이너스 급매 추천매물. 전세끼고매매</t>
        </is>
      </c>
      <c r="P180" s="6">
        <f>HYPERLINK("https://fin.land.naver.com/articles/2654400912",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세종올리브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전세</t>
        </is>
      </c>
      <c r="G183" s="4" t="n">
        <v>65000</v>
      </c>
      <c r="H183" s="4" t="n">
        <v>0</v>
      </c>
      <c r="I183" s="4" t="n">
        <v>196</v>
      </c>
      <c r="J183" s="4" t="n">
        <v>59</v>
      </c>
      <c r="K183" s="5" t="n">
        <v>1101.7</v>
      </c>
      <c r="L183" s="4" t="n">
        <v>196</v>
      </c>
      <c r="M183" s="4" t="n">
        <v>59</v>
      </c>
      <c r="N183" s="5" t="n">
        <v>1101.7</v>
      </c>
      <c r="O183" s="3" t="inlineStr">
        <is>
          <t>nan</t>
        </is>
      </c>
      <c r="P183" s="6">
        <f>HYPERLINK("https://fin.land.naver.com/articles/2654655405",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127000</v>
      </c>
      <c r="H184" s="4" t="n">
        <v>0</v>
      </c>
      <c r="I184" s="4" t="n">
        <v>328</v>
      </c>
      <c r="J184" s="4" t="n">
        <v>99</v>
      </c>
      <c r="K184" s="5" t="n">
        <v>1282.8</v>
      </c>
      <c r="L184" s="4" t="n">
        <v>196</v>
      </c>
      <c r="M184" s="4" t="n">
        <v>59</v>
      </c>
      <c r="N184" s="5" t="n">
        <v>2152.5</v>
      </c>
      <c r="O184" s="3" t="inlineStr">
        <is>
          <t>타운하우스매매 가격조정가능 상태좋음 방3개 테라스 다락있음 옵션풀</t>
        </is>
      </c>
      <c r="P184" s="6">
        <f>HYPERLINK("https://fin.land.naver.com/articles/2654272968",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새롬스마트</t>
        </is>
      </c>
      <c r="T184" s="4" t="n">
        <v>2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방3개, 화장실3개, 협의입주가능</t>
        </is>
      </c>
      <c r="P185" s="6">
        <f>HYPERLINK("https://fin.land.naver.com/articles/2655849858",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299</v>
      </c>
      <c r="J186" s="4" t="n">
        <v>90</v>
      </c>
      <c r="K186" s="5" t="n">
        <v>1166.7</v>
      </c>
      <c r="L186" s="4" t="n">
        <v>171</v>
      </c>
      <c r="M186" s="4" t="n">
        <v>52</v>
      </c>
      <c r="N186" s="5" t="n">
        <v>2019.2</v>
      </c>
      <c r="O186" s="3" t="inlineStr">
        <is>
          <t>급매 마피 신축 첫입주 추가조율협의가능</t>
        </is>
      </c>
      <c r="P186" s="6">
        <f>HYPERLINK("https://fin.land.naver.com/articles/2652943442",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매월 만석  올리모델링 완료 펜션, 수익형투자, 직접거주 모두 강</t>
        </is>
      </c>
      <c r="P193" s="6">
        <f>HYPERLINK("https://fin.land.naver.com/articles/2655996367",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세종신한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도시속 예쁜 단독주택 매매,리모델링 완료,세종 대전 가까운 거리</t>
        </is>
      </c>
      <c r="P195" s="6">
        <f>HYPERLINK("https://fin.land.naver.com/articles/2652734917",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천재원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546</v>
      </c>
      <c r="J206" s="4" t="n">
        <v>165</v>
      </c>
      <c r="K206" s="5" t="n">
        <v>272.7</v>
      </c>
      <c r="L206" s="4" t="n">
        <v>118</v>
      </c>
      <c r="M206" s="4" t="n">
        <v>36</v>
      </c>
      <c r="N206" s="5" t="n">
        <v>1250</v>
      </c>
      <c r="O206" s="3" t="inlineStr">
        <is>
          <t>세종시근접,즉시입주가능,전원주택과 텃밭있음,</t>
        </is>
      </c>
      <c r="P206" s="6">
        <f>HYPERLINK("https://fin.land.naver.com/articles/2653906997",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급매 전원주택 근생주택 주택X 방3개 욕실2개</t>
        </is>
      </c>
      <c r="P207" s="6">
        <f>HYPERLINK("https://fin.land.naver.com/articles/2656215011",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668</v>
      </c>
      <c r="J208" s="4" t="n">
        <v>202</v>
      </c>
      <c r="K208" s="5" t="n">
        <v>569.3</v>
      </c>
      <c r="L208" s="4" t="n">
        <v>189</v>
      </c>
      <c r="M208" s="4" t="n">
        <v>57</v>
      </c>
      <c r="N208" s="5" t="n">
        <v>2017.5</v>
      </c>
      <c r="O208" s="3" t="inlineStr">
        <is>
          <t>202p 전원주택,상가주택가능 금강수목원재개발 호재</t>
        </is>
      </c>
      <c r="P208" s="6">
        <f>HYPERLINK("https://fin.land.naver.com/articles/2651450571",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서초만땅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올수리 프리미엄 전원주택,행복도시 매우 근접한 최상의 단독주택</t>
        </is>
      </c>
      <c r="P212" s="6">
        <f>HYPERLINK("https://fin.land.naver.com/articles/2655996538",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24년도 올인테리어 했어요 전원주택 금강 급매물 내부 수리 산뜻해요</t>
        </is>
      </c>
      <c r="P213" s="6">
        <f>HYPERLINK("https://fin.land.naver.com/articles/2652936852",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세종골드삼성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세종시 15분거리 단독주택 매매</t>
        </is>
      </c>
      <c r="P215" s="6">
        <f>HYPERLINK("https://fin.land.naver.com/articles/2655760728",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세종태양</t>
        </is>
      </c>
      <c r="T215" s="4" t="n">
        <v>2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산림박물관 가까운 조용한 힐링 상가주택 ,  주거와 상가 가능</t>
        </is>
      </c>
      <c r="P216" s="6">
        <f>HYPERLINK("https://fin.land.naver.com/articles/2655644211",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세종보물</t>
        </is>
      </c>
      <c r="T216" s="4" t="n">
        <v>1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36000</v>
      </c>
      <c r="H221" s="4" t="n">
        <v>0</v>
      </c>
      <c r="I221" s="4" t="n">
        <v>309</v>
      </c>
      <c r="J221" s="4" t="n">
        <v>93</v>
      </c>
      <c r="K221" s="5" t="n">
        <v>387.1</v>
      </c>
      <c r="L221" s="4" t="n">
        <v>81</v>
      </c>
      <c r="M221" s="4" t="n">
        <v>25</v>
      </c>
      <c r="N221" s="5" t="n">
        <v>1440</v>
      </c>
      <c r="O221" s="3" t="inlineStr">
        <is>
          <t>세종시 전원주택으로 조용하고 거의 신축급입니다</t>
        </is>
      </c>
      <c r="P221" s="6">
        <f>HYPERLINK("https://fin.land.naver.com/articles/2656668392",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오송파라곤1차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30000</v>
      </c>
      <c r="H222" s="4" t="n">
        <v>0</v>
      </c>
      <c r="I222" s="4" t="n">
        <v>309</v>
      </c>
      <c r="J222" s="4" t="n">
        <v>93</v>
      </c>
      <c r="K222" s="5" t="n">
        <v>322.6</v>
      </c>
      <c r="L222" s="4" t="n">
        <v>81</v>
      </c>
      <c r="M222" s="4" t="n">
        <v>25</v>
      </c>
      <c r="N222" s="5" t="n">
        <v>1200</v>
      </c>
      <c r="O222" s="3" t="inlineStr">
        <is>
          <t>대전 세종 10분 거리 역세권형 전원주택, 넓은 텃밭, 넓은 주거 공</t>
        </is>
      </c>
      <c r="P222" s="6">
        <f>HYPERLINK("https://fin.land.naver.com/articles/2655996606",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세종신한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금남면 두만리 단독주택,텃밭,큰방2,넓은거실,화장실2,주차가능</t>
        </is>
      </c>
      <c r="P223" s="6">
        <f>HYPERLINK("https://fin.land.naver.com/articles/2653950272",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대아마을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세종 대전 접근성과  텃밭에서  힐링까지 모두 누릴수있는 집</t>
        </is>
      </c>
      <c r="P224" s="6">
        <f>HYPERLINK("https://fin.land.naver.com/articles/2654909285",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대전세종 중간. 넓은 대지와 흑벽돌로 리모델링한 주택.</t>
        </is>
      </c>
      <c r="P227" s="6">
        <f>HYPERLINK("https://fin.land.naver.com/articles/2651848762",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세종소담114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급매,제1종일반주거지역,평당293만원</t>
        </is>
      </c>
      <c r="P228" s="6">
        <f>HYPERLINK("https://fin.land.naver.com/articles/2650848725",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찬스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330</v>
      </c>
      <c r="J230" s="4" t="n">
        <v>100</v>
      </c>
      <c r="K230" s="5" t="n">
        <v>500</v>
      </c>
      <c r="L230" s="4" t="n">
        <v>99</v>
      </c>
      <c r="M230" s="4" t="n">
        <v>30</v>
      </c>
      <c r="N230" s="5" t="n">
        <v>1666.7</v>
      </c>
      <c r="O230" s="3" t="inlineStr">
        <is>
          <t>양지바른 전원 주택</t>
        </is>
      </c>
      <c r="P230" s="6">
        <f>HYPERLINK("https://fin.land.naver.com/articles/2651316602",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청운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330</v>
      </c>
      <c r="J231" s="4" t="n">
        <v>100</v>
      </c>
      <c r="K231" s="5" t="n">
        <v>550</v>
      </c>
      <c r="L231" s="4" t="n">
        <v>99</v>
      </c>
      <c r="M231" s="4" t="n">
        <v>30</v>
      </c>
      <c r="N231" s="5" t="n">
        <v>1833.3</v>
      </c>
      <c r="O231" s="3" t="inlineStr">
        <is>
          <t>세종시 근접한 텃밭있는 단독주택</t>
        </is>
      </c>
      <c r="P231" s="6">
        <f>HYPERLINK("https://fin.land.naver.com/articles/2654798554",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가치잇는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나성동에서 15km이내 세종시와 공주시의 중간지역의 단독주택</t>
        </is>
      </c>
      <c r="P239" s="6">
        <f>HYPERLINK("https://fin.land.naver.com/articles/2653857245",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에이원</t>
        </is>
      </c>
      <c r="T239" s="4" t="n">
        <v>3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생활권 누리면서 넓은 토지와 조용한 전원주택 확보</t>
        </is>
      </c>
      <c r="P240" s="6">
        <f>HYPERLINK("https://fin.land.naver.com/articles/2656118222",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아임</t>
        </is>
      </c>
      <c r="T240" s="4" t="n">
        <v>2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행복도시와 차량으로 10분 내외의 거리에 위치, 투자하기 좋은 위치</t>
        </is>
      </c>
      <c r="P243" s="6">
        <f>HYPERLINK("https://fin.land.naver.com/articles/2651420916",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해들일번지</t>
        </is>
      </c>
      <c r="T243" s="4" t="n">
        <v>1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nan</t>
        </is>
      </c>
      <c r="P253" s="6">
        <f>HYPERLINK("https://fin.land.naver.com/articles/2651380675",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성신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주인거주로 관리 잘된 전원 농가, 텃밭과 주차장 이용 가능</t>
        </is>
      </c>
      <c r="P254" s="6">
        <f>HYPERLINK("https://fin.land.naver.com/articles/2656010233",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반곡황금더샵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좋은 손델곳 없이 입주가능 정남향단독,작은카페도 어울리는 그림같은 집</t>
        </is>
      </c>
      <c r="P255" s="6">
        <f>HYPERLINK("https://fin.land.naver.com/articles/2656702670",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좋은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전세</t>
        </is>
      </c>
      <c r="G261" s="4" t="n">
        <v>27000</v>
      </c>
      <c r="H261" s="4" t="n">
        <v>0</v>
      </c>
      <c r="I261" s="4" t="n">
        <v>114</v>
      </c>
      <c r="J261" s="4" t="n">
        <v>34</v>
      </c>
      <c r="K261" s="5" t="n">
        <v>794.1</v>
      </c>
      <c r="L261" s="4" t="n">
        <v>114</v>
      </c>
      <c r="M261" s="4" t="n">
        <v>34</v>
      </c>
      <c r="N261" s="5" t="n">
        <v>794.1</v>
      </c>
      <c r="O261" s="3" t="inlineStr">
        <is>
          <t>금남면 2층 단독주택, 입주협의가능, 리모델링</t>
        </is>
      </c>
      <c r="P261" s="6">
        <f>HYPERLINK("https://fin.land.naver.com/articles/2652790940",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빌라</t>
        </is>
      </c>
      <c r="F268" s="3" t="inlineStr">
        <is>
          <t>매매</t>
        </is>
      </c>
      <c r="G268" s="4" t="n">
        <v>10000</v>
      </c>
      <c r="H268" s="4" t="n">
        <v>0</v>
      </c>
      <c r="I268" s="4" t="n">
        <v>62</v>
      </c>
      <c r="J268" s="4" t="n">
        <v>19</v>
      </c>
      <c r="K268" s="5" t="n">
        <v>526.3</v>
      </c>
      <c r="L268" s="4" t="n">
        <v>56</v>
      </c>
      <c r="M268" s="4" t="n">
        <v>17</v>
      </c>
      <c r="N268" s="5" t="n">
        <v>588.2</v>
      </c>
      <c r="O268" s="3" t="inlineStr">
        <is>
          <t>생활하기좋은 2층, 즉시입주, 생활편이시설 인접</t>
        </is>
      </c>
      <c r="P268" s="6">
        <f>HYPERLINK("https://fin.land.naver.com/articles/2652537640",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연립</t>
        </is>
      </c>
      <c r="F269" s="3" t="inlineStr">
        <is>
          <t>매매</t>
        </is>
      </c>
      <c r="G269" s="4" t="n">
        <v>8500</v>
      </c>
      <c r="H269" s="4" t="n">
        <v>0</v>
      </c>
      <c r="I269" s="4" t="n">
        <v>63</v>
      </c>
      <c r="J269" s="4" t="n">
        <v>19</v>
      </c>
      <c r="K269" s="5" t="n">
        <v>447.4</v>
      </c>
      <c r="L269" s="4" t="n">
        <v>57</v>
      </c>
      <c r="M269" s="4" t="n">
        <v>17</v>
      </c>
      <c r="N269" s="5" t="n">
        <v>500</v>
      </c>
      <c r="O269" s="3" t="inlineStr">
        <is>
          <t>급 매매,즉시입주,도배장판깨끗 ,관공서 병원 복지센터 ,생활편의 시설</t>
        </is>
      </c>
      <c r="P269" s="6">
        <f>HYPERLINK("https://fin.land.naver.com/articles/2654708446",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공실없고, 위치좋음, 대평시장 인근, 수요많음</t>
        </is>
      </c>
      <c r="P273" s="6">
        <f>HYPERLINK("https://fin.land.naver.com/articles/2653006777",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용포농협인근으로 위치도아주좋아요</t>
        </is>
      </c>
      <c r="P274" s="6">
        <f>HYPERLINK("https://fin.land.naver.com/articles/2656141336",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가장힐스테이트백억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188</v>
      </c>
      <c r="J286" s="4" t="n">
        <v>57</v>
      </c>
      <c r="K286" s="5" t="n">
        <v>1491.2</v>
      </c>
      <c r="L286" s="4" t="n">
        <v>296</v>
      </c>
      <c r="M286" s="4" t="n">
        <v>90</v>
      </c>
      <c r="N286" s="5" t="n">
        <v>944.4</v>
      </c>
      <c r="O286" s="3" t="inlineStr">
        <is>
          <t>공실없이 수익율 좋은 수익형 다중주택 매매 타지역에서도 관리가능 금액협의</t>
        </is>
      </c>
      <c r="P286" s="6">
        <f>HYPERLINK("https://fin.land.naver.com/articles/2656204384",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센트라스탑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100</v>
      </c>
      <c r="H287" s="4" t="n">
        <v>35</v>
      </c>
      <c r="I287" s="4" t="n">
        <v>0</v>
      </c>
      <c r="J287" s="4" t="n">
        <v>0</v>
      </c>
      <c r="K287" s="5" t="n">
        <v>0</v>
      </c>
      <c r="L287" s="4" t="n">
        <v>18</v>
      </c>
      <c r="M287" s="4" t="n">
        <v>5</v>
      </c>
      <c r="N287" s="5" t="n">
        <v>7</v>
      </c>
      <c r="O287" s="3" t="inlineStr">
        <is>
          <t>11월 입주가능한 풀옵션 원룸입니다.</t>
        </is>
      </c>
      <c r="P287" s="6">
        <f>HYPERLINK("https://fin.land.naver.com/articles/2654269912",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골드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다가구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50</v>
      </c>
      <c r="J290" s="4" t="n">
        <v>15</v>
      </c>
      <c r="K290" s="5" t="n">
        <v>3.3</v>
      </c>
      <c r="L290" s="4" t="n">
        <v>40</v>
      </c>
      <c r="M290" s="4" t="n">
        <v>12</v>
      </c>
      <c r="N290" s="5" t="n">
        <v>4.2</v>
      </c>
      <c r="O290" s="3" t="inlineStr">
        <is>
          <t>너ㅏㄼ고 깨끗하며 대평시장 버스정류장 가까워 교통 생활편리 입주협의</t>
        </is>
      </c>
      <c r="P290" s="6">
        <f>HYPERLINK("https://fin.land.naver.com/articles/2655716434",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나성행복주는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37</v>
      </c>
      <c r="J292" s="4" t="n">
        <v>11</v>
      </c>
      <c r="K292" s="5" t="n">
        <v>4.5</v>
      </c>
      <c r="L292" s="4" t="n">
        <v>35</v>
      </c>
      <c r="M292" s="4" t="n">
        <v>11</v>
      </c>
      <c r="N292" s="5" t="n">
        <v>4.5</v>
      </c>
      <c r="O292" s="3" t="inlineStr">
        <is>
          <t>전용 넓은 풀옵션 원룸 즉시입주예요</t>
        </is>
      </c>
      <c r="P292" s="6">
        <f>HYPERLINK("https://fin.land.naver.com/articles/2656668936",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25</v>
      </c>
      <c r="J296" s="4" t="n">
        <v>8</v>
      </c>
      <c r="K296" s="5" t="n">
        <v>4.5</v>
      </c>
      <c r="L296" s="4" t="n">
        <v>22</v>
      </c>
      <c r="M296" s="4" t="n">
        <v>7</v>
      </c>
      <c r="N296" s="5" t="n">
        <v>5.1</v>
      </c>
      <c r="O296" s="3" t="inlineStr">
        <is>
          <t>남향 풀옵션 터미널 청사 시청가까워요</t>
        </is>
      </c>
      <c r="P296" s="6">
        <f>HYPERLINK("https://fin.land.naver.com/articles/2653333173",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성신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1000</v>
      </c>
      <c r="H309" s="4" t="n">
        <v>55</v>
      </c>
      <c r="I309" s="4" t="n">
        <v>65</v>
      </c>
      <c r="J309" s="4" t="n">
        <v>20</v>
      </c>
      <c r="K309" s="5" t="n">
        <v>2.8</v>
      </c>
      <c r="L309" s="4" t="n">
        <v>60</v>
      </c>
      <c r="M309" s="4" t="n">
        <v>18</v>
      </c>
      <c r="N309" s="5" t="n">
        <v>3.1</v>
      </c>
      <c r="O309" s="3" t="inlineStr">
        <is>
          <t>방1개.거실.두베이 .교통좋고 살기편리함,엘베있음.별도 관리비없음</t>
        </is>
      </c>
      <c r="P309" s="6">
        <f>HYPERLINK("https://fin.land.naver.com/articles/2654950083",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대일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청주시 인근 마당과 정원이 예쁜 1층 단독주택</t>
        </is>
      </c>
      <c r="P318" s="6">
        <f>HYPERLINK("https://fin.land.naver.com/articles/2655454095",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청주원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어덕마을 전원주택단지내 막힘없는뷰</t>
        </is>
      </c>
      <c r="P319" s="6">
        <f>HYPERLINK("https://fin.land.naver.com/articles/2654838947",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상태굿   입주협의   그림같은 전원주택</t>
        </is>
      </c>
      <c r="P341" s="6">
        <f>HYPERLINK("https://fin.land.naver.com/articles/2652389858",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지웰시티합동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남이면 석판리  전원주택 매매</t>
        </is>
      </c>
      <c r="P342" s="6">
        <f>HYPERLINK("https://fin.land.naver.com/articles/2651347383",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금호사랑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57000</v>
      </c>
      <c r="H346" s="4" t="n">
        <v>0</v>
      </c>
      <c r="I346" s="4" t="n">
        <v>887</v>
      </c>
      <c r="J346" s="4" t="n">
        <v>268</v>
      </c>
      <c r="K346" s="5" t="n">
        <v>212.7</v>
      </c>
      <c r="L346" s="4" t="n">
        <v>99</v>
      </c>
      <c r="M346" s="4" t="n">
        <v>30</v>
      </c>
      <c r="N346" s="5" t="n">
        <v>1900</v>
      </c>
      <c r="O346" s="3" t="inlineStr">
        <is>
          <t>가격조정가능, 단독주택거주하시면서 카페운영 추천</t>
        </is>
      </c>
      <c r="P346" s="6">
        <f>HYPERLINK("https://fin.land.naver.com/articles/2654171088",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명진</t>
        </is>
      </c>
      <c r="T346" s="4" t="n">
        <v>2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887</v>
      </c>
      <c r="J347" s="4" t="n">
        <v>268</v>
      </c>
      <c r="K347" s="5" t="n">
        <v>242.5</v>
      </c>
      <c r="L347" s="4" t="n">
        <v>99</v>
      </c>
      <c r="M347" s="4" t="n">
        <v>30</v>
      </c>
      <c r="N347" s="5" t="n">
        <v>2166.7</v>
      </c>
      <c r="O347" s="3" t="inlineStr">
        <is>
          <t>남이초등학교앞   전원주택단지</t>
        </is>
      </c>
      <c r="P347" s="6">
        <f>HYPERLINK("https://fin.land.naver.com/articles/2655224441",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금슬</t>
        </is>
      </c>
      <c r="T347" s="4" t="n">
        <v>1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텃밭 있고 상태 양호한 전원주택</t>
        </is>
      </c>
      <c r="P350" s="6">
        <f>HYPERLINK("https://fin.land.naver.com/articles/2655039846",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옥산금정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가격절충가능, 남이면 햇살 잘드는 전원주택,가경동에서 20분 이내</t>
        </is>
      </c>
      <c r="P352" s="6">
        <f>HYPERLINK("https://fin.land.naver.com/articles/2654522037",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소원</t>
        </is>
      </c>
      <c r="T352" s="4" t="n">
        <v>3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532</v>
      </c>
      <c r="J354" s="4" t="n">
        <v>161</v>
      </c>
      <c r="K354" s="5" t="n">
        <v>242.2</v>
      </c>
      <c r="L354" s="4" t="n">
        <v>220</v>
      </c>
      <c r="M354" s="4" t="n">
        <v>67</v>
      </c>
      <c r="N354" s="5" t="n">
        <v>582.1</v>
      </c>
      <c r="O354" s="3" t="inlineStr">
        <is>
          <t>탁트인전망 햇빛잘들고 텃밭과 넓은 지하주차장을 겸비한 살기좋은집</t>
        </is>
      </c>
      <c r="P354" s="6">
        <f>HYPERLINK("https://fin.land.naver.com/articles/2655518915",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신두꺼비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  즉시입주</t>
        </is>
      </c>
      <c r="P380" s="6">
        <f>HYPERLINK("https://fin.land.naver.com/articles/2655403630",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</t>
        </is>
      </c>
      <c r="P381" s="6">
        <f>HYPERLINK("https://fin.land.naver.com/articles/2655408824",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2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조율가능 넓은공원접한위치 테라스 조망최상</t>
        </is>
      </c>
      <c r="P393" s="6">
        <f>HYPERLINK("https://fin.land.naver.com/articles/2651086326",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178000</v>
      </c>
      <c r="H394" s="4" t="n">
        <v>0</v>
      </c>
      <c r="I394" s="4" t="n">
        <v>304</v>
      </c>
      <c r="J394" s="4" t="n">
        <v>92</v>
      </c>
      <c r="K394" s="5" t="n">
        <v>1934.8</v>
      </c>
      <c r="L394" s="4" t="n">
        <v>176</v>
      </c>
      <c r="M394" s="4" t="n">
        <v>53</v>
      </c>
      <c r="N394" s="5" t="n">
        <v>3358.5</v>
      </c>
      <c r="O394" s="3" t="inlineStr">
        <is>
          <t>생명나무,모던한주택 예뻐요 . 협의입주.공원산책로 좋아요</t>
        </is>
      </c>
      <c r="P394" s="6">
        <f>HYPERLINK("https://fin.land.naver.com/articles/2656537937",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생명나무</t>
        </is>
      </c>
      <c r="T394" s="4" t="n">
        <v>2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176</v>
      </c>
      <c r="M395" s="4" t="n">
        <v>53</v>
      </c>
      <c r="N395" s="5" t="n">
        <v>3188.7</v>
      </c>
      <c r="O395" s="3" t="inlineStr">
        <is>
          <t>공원 인접한 숲세권 단독주택, 충남대 병원 도보로 가능</t>
        </is>
      </c>
      <c r="P395" s="6">
        <f>HYPERLINK("https://fin.land.naver.com/articles/2652665481",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오케이태복</t>
        </is>
      </c>
      <c r="T395" s="4" t="n">
        <v>2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304</v>
      </c>
      <c r="M396" s="4" t="n">
        <v>92</v>
      </c>
      <c r="N396" s="5" t="n">
        <v>1837</v>
      </c>
      <c r="O396" s="3" t="inlineStr">
        <is>
          <t>협의입주.방4개,화장실3개.테라스.넓은 정원까지 튼튼하고 예쁜 집</t>
        </is>
      </c>
      <c r="P396" s="6">
        <f>HYPERLINK("https://fin.land.naver.com/articles/2653318803",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수자인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2층 테라스, 전망 좋은집, 방4개, 화장실3개</t>
        </is>
      </c>
      <c r="P397" s="6">
        <f>HYPERLINK("https://fin.land.naver.com/articles/2654692677",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세종무지개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테라스, 공원 인접, 인근 충남대병원, 방축천, 로컬푸드, 6생활권 근접</t>
        </is>
      </c>
      <c r="P398" s="6">
        <f>HYPERLINK("https://fin.land.naver.com/articles/2655652107",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온뜰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협의입주,말발굽자리,남향,마당넓은 예쁜집입니다.</t>
        </is>
      </c>
      <c r="P400" s="6">
        <f>HYPERLINK("https://fin.land.naver.com/articles/2654154469",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마마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도담동 마당넓은 단독주택, 초등학교 인근</t>
        </is>
      </c>
      <c r="P401" s="6">
        <f>HYPERLINK("https://fin.land.naver.com/articles/2650963994",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2층만,3억전세가능,2층전용출입문,다락방,테라스,방축천 충대병원 도보</t>
        </is>
      </c>
      <c r="P402" s="6">
        <f>HYPERLINK("https://fin.land.naver.com/articles/2653270299",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태복</t>
        </is>
      </c>
      <c r="T402" s="4" t="n">
        <v>2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2층과 다락방사용, 외부계단이용, 전기태양광설치, 전세로 가능</t>
        </is>
      </c>
      <c r="P403" s="6">
        <f>HYPERLINK("https://fin.land.naver.com/articles/2651701809",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급매 추가조율가능 전세가능8억 대형주택 2세대거주가능</t>
        </is>
      </c>
      <c r="P404" s="6">
        <f>HYPERLINK("https://fin.land.naver.com/articles/2655254355",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세종스타</t>
        </is>
      </c>
      <c r="T404" s="4" t="n">
        <v>3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전용 89p, 조율가능, 급매물, 2세대가능, 전세도가능</t>
        </is>
      </c>
      <c r="P405" s="6">
        <f>HYPERLINK("https://fin.land.naver.com/articles/2654709247",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세종무지개</t>
        </is>
      </c>
      <c r="T405" s="4" t="n">
        <v>2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324</v>
      </c>
      <c r="J406" s="4" t="n">
        <v>98</v>
      </c>
      <c r="K406" s="5" t="n">
        <v>2346.9</v>
      </c>
      <c r="L406" s="4" t="n">
        <v>199</v>
      </c>
      <c r="M406" s="4" t="n">
        <v>60</v>
      </c>
      <c r="N406" s="5" t="n">
        <v>3833.3</v>
      </c>
      <c r="O406" s="3" t="inlineStr">
        <is>
          <t>명성공인, 방4, 화4, 풀에어컨, 다락까지 있는 위치 좋은 추천 매물</t>
        </is>
      </c>
      <c r="P406" s="6">
        <f>HYPERLINK("https://fin.land.naver.com/articles/2655994461",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명성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225000</v>
      </c>
      <c r="H407" s="4" t="n">
        <v>0</v>
      </c>
      <c r="I407" s="4" t="n">
        <v>324</v>
      </c>
      <c r="J407" s="4" t="n">
        <v>98</v>
      </c>
      <c r="K407" s="5" t="n">
        <v>2295.9</v>
      </c>
      <c r="L407" s="4" t="n">
        <v>199</v>
      </c>
      <c r="M407" s="4" t="n">
        <v>60</v>
      </c>
      <c r="N407" s="5" t="n">
        <v>3750</v>
      </c>
      <c r="O407" s="3" t="inlineStr">
        <is>
          <t>전용60.3p, 방4개, 화장실4개, 입지 좋은 단독주택</t>
        </is>
      </c>
      <c r="P407" s="6">
        <f>HYPERLINK("https://fin.land.naver.com/articles/2654696423",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225000</v>
      </c>
      <c r="H408" s="4" t="n">
        <v>0</v>
      </c>
      <c r="I408" s="4" t="n">
        <v>324</v>
      </c>
      <c r="J408" s="4" t="n">
        <v>98</v>
      </c>
      <c r="K408" s="5" t="n">
        <v>2295.9</v>
      </c>
      <c r="L408" s="4" t="n">
        <v>199</v>
      </c>
      <c r="M408" s="4" t="n">
        <v>60</v>
      </c>
      <c r="N408" s="5" t="n">
        <v>3750</v>
      </c>
      <c r="O408" s="3" t="inlineStr">
        <is>
          <t>도담동 최고입지 귀한 단독주택 넓은평수 목조주택</t>
        </is>
      </c>
      <c r="P408" s="6">
        <f>HYPERLINK("https://fin.land.naver.com/articles/2654038763",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230000</v>
      </c>
      <c r="H409" s="4" t="n">
        <v>0</v>
      </c>
      <c r="I409" s="4" t="n">
        <v>324</v>
      </c>
      <c r="J409" s="4" t="n">
        <v>98</v>
      </c>
      <c r="K409" s="5" t="n">
        <v>2346.9</v>
      </c>
      <c r="L409" s="4" t="n">
        <v>199</v>
      </c>
      <c r="M409" s="4" t="n">
        <v>60</v>
      </c>
      <c r="N409" s="5" t="n">
        <v>3833.3</v>
      </c>
      <c r="O409" s="3" t="inlineStr">
        <is>
          <t>nan</t>
        </is>
      </c>
      <c r="P409" s="6">
        <f>HYPERLINK("https://fin.land.naver.com/articles/2655659815",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세종삼촌</t>
        </is>
      </c>
      <c r="T409" s="4" t="n">
        <v>2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nan</t>
        </is>
      </c>
      <c r="P411" s="6">
        <f>HYPERLINK("https://fin.land.naver.com/articles/2652442121",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즉시협의입주가능하며 도시에서 전원생활을 꿈꾸는 분이라면 누구나 가능</t>
        </is>
      </c>
      <c r="P412" s="6">
        <f>HYPERLINK("https://fin.land.naver.com/articles/2656613941",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대한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청사와홈플인근 입지좋고 세컨하우스로 사용할수있는 모듈하우스</t>
        </is>
      </c>
      <c r="P413" s="6">
        <f>HYPERLINK("https://fin.land.naver.com/articles/2653841691",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웅진스타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넓은 마당, 정남향, 세컨하우스, 공방, 작업실 추천</t>
        </is>
      </c>
      <c r="P414" s="6">
        <f>HYPERLINK("https://fin.land.naver.com/articles/2651949513",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명진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생명나무,도담동 아담한 모듈하우스 경작가능 주말쉼터로도 좋아요</t>
        </is>
      </c>
      <c r="P416" s="6">
        <f>HYPERLINK("https://fin.land.naver.com/articles/2651373721",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생명나무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생명나무,관리최상 도담동 예쁜집 홈플러스인접 BRT도보가능</t>
        </is>
      </c>
      <c r="P417" s="6">
        <f>HYPERLINK("https://fin.land.naver.com/articles/2655964123",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생명나무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도담동 예쁜 단독주택, 홈플과 충대병원 사이, 초등학교 유치원 인접</t>
        </is>
      </c>
      <c r="P419" s="6">
        <f>HYPERLINK("https://fin.land.naver.com/articles/2650962880",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OK세종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금강뷰 전원주택, 금호교 개통으로 4생활권에서 5분거리</t>
        </is>
      </c>
      <c r="P426" s="6">
        <f>HYPERLINK("https://fin.land.naver.com/articles/2655632602",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세종삼촌</t>
        </is>
      </c>
      <c r="T426" s="4" t="n">
        <v>3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금강변  복층전원주택(관리 최상)</t>
        </is>
      </c>
      <c r="P428" s="6">
        <f>HYPERLINK("https://fin.land.naver.com/articles/2653362510",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이레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직장인들에게 인기 있고 관리가 잘된 원룸입니다.</t>
        </is>
      </c>
      <c r="P447" s="6">
        <f>HYPERLINK("https://fin.land.naver.com/articles/2656682212",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부강초 인근 수익률 좋은 수익형 건물로 관리 잘된 다가구주택 매매이예요</t>
        </is>
      </c>
      <c r="P448" s="6">
        <f>HYPERLINK("https://fin.land.naver.com/articles/2654862528",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4989명품</t>
        </is>
      </c>
      <c r="T448" s="4" t="n">
        <v>2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다가구</t>
        </is>
      </c>
      <c r="F450" s="3" t="inlineStr">
        <is>
          <t>월세</t>
        </is>
      </c>
      <c r="G450" s="4" t="n">
        <v>500</v>
      </c>
      <c r="H450" s="4" t="n">
        <v>70</v>
      </c>
      <c r="I450" s="4" t="n">
        <v>60</v>
      </c>
      <c r="J450" s="4" t="n">
        <v>18</v>
      </c>
      <c r="K450" s="5" t="n">
        <v>3.9</v>
      </c>
      <c r="L450" s="4" t="n">
        <v>50</v>
      </c>
      <c r="M450" s="4" t="n">
        <v>15</v>
      </c>
      <c r="N450" s="5" t="n">
        <v>4.7</v>
      </c>
      <c r="O450" s="3" t="inlineStr">
        <is>
          <t>대박 신축 투룸</t>
        </is>
      </c>
      <c r="P450" s="6">
        <f>HYPERLINK("https://fin.land.naver.com/articles/2652551499",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4000</v>
      </c>
      <c r="H451" s="4" t="n">
        <v>20</v>
      </c>
      <c r="I451" s="4" t="n">
        <v>40</v>
      </c>
      <c r="J451" s="4" t="n">
        <v>12</v>
      </c>
      <c r="K451" s="5" t="n">
        <v>1.7</v>
      </c>
      <c r="L451" s="4" t="n">
        <v>33</v>
      </c>
      <c r="M451" s="4" t="n">
        <v>10</v>
      </c>
      <c r="N451" s="5" t="n">
        <v>2</v>
      </c>
      <c r="O451" s="3" t="inlineStr">
        <is>
          <t>대박 신축 1.5룸</t>
        </is>
      </c>
      <c r="P451" s="6">
        <f>HYPERLINK("https://fin.land.naver.com/articles/2652545951",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144000</v>
      </c>
      <c r="H461" s="4" t="n">
        <v>0</v>
      </c>
      <c r="I461" s="4" t="n">
        <v>215</v>
      </c>
      <c r="J461" s="4" t="n">
        <v>65</v>
      </c>
      <c r="K461" s="5" t="n">
        <v>2215.4</v>
      </c>
      <c r="L461" s="4" t="n">
        <v>190</v>
      </c>
      <c r="M461" s="4" t="n">
        <v>57</v>
      </c>
      <c r="N461" s="5" t="n">
        <v>2526.3</v>
      </c>
      <c r="O461" s="3" t="inlineStr">
        <is>
          <t>B타입 남향 오르비안 매물전량확보중</t>
        </is>
      </c>
      <c r="P461" s="6">
        <f>HYPERLINK("https://fin.land.naver.com/articles/2655180981",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215</v>
      </c>
      <c r="J462" s="4" t="n">
        <v>65</v>
      </c>
      <c r="K462" s="5" t="n">
        <v>2261.5</v>
      </c>
      <c r="L462" s="4" t="n">
        <v>190</v>
      </c>
      <c r="M462" s="4" t="n">
        <v>57</v>
      </c>
      <c r="N462" s="5" t="n">
        <v>2578.9</v>
      </c>
      <c r="O462" s="3" t="inlineStr">
        <is>
          <t>급매원분양가 그대로 매매</t>
        </is>
      </c>
      <c r="P462" s="6">
        <f>HYPERLINK("https://fin.land.naver.com/articles/2653989967",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강아지풀</t>
        </is>
      </c>
      <c r="T462" s="4" t="n">
        <v>3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170000</v>
      </c>
      <c r="H463" s="4" t="n">
        <v>0</v>
      </c>
      <c r="I463" s="4" t="n">
        <v>191</v>
      </c>
      <c r="J463" s="4" t="n">
        <v>58</v>
      </c>
      <c r="K463" s="5" t="n">
        <v>2931</v>
      </c>
      <c r="L463" s="4" t="n">
        <v>191</v>
      </c>
      <c r="M463" s="4" t="n">
        <v>58</v>
      </c>
      <c r="N463" s="5" t="n">
        <v>2931</v>
      </c>
      <c r="O463" s="3" t="inlineStr">
        <is>
          <t>지하주차장, 신축, 개별 엘레베이터, 입지 굿</t>
        </is>
      </c>
      <c r="P463" s="6">
        <f>HYPERLINK("https://fin.land.naver.com/articles/2654050142",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100000</v>
      </c>
      <c r="H464" s="4" t="n">
        <v>0</v>
      </c>
      <c r="I464" s="4" t="n">
        <v>197</v>
      </c>
      <c r="J464" s="4" t="n">
        <v>60</v>
      </c>
      <c r="K464" s="5" t="n">
        <v>1666.7</v>
      </c>
      <c r="L464" s="4" t="n">
        <v>190</v>
      </c>
      <c r="M464" s="4" t="n">
        <v>57</v>
      </c>
      <c r="N464" s="5" t="n">
        <v>1754.4</v>
      </c>
      <c r="O464" s="3" t="inlineStr">
        <is>
          <t>상권과 교통 ,학군, 최고의 입지</t>
        </is>
      </c>
      <c r="P464" s="6">
        <f>HYPERLINK("https://fin.land.naver.com/articles/2653938563",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해밀마을공간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월세</t>
        </is>
      </c>
      <c r="G466" s="4" t="n">
        <v>20000</v>
      </c>
      <c r="H466" s="4" t="n">
        <v>350</v>
      </c>
      <c r="I466" s="4" t="n">
        <v>0</v>
      </c>
      <c r="J466" s="4" t="n">
        <v>0</v>
      </c>
      <c r="K466" s="5" t="n">
        <v>0</v>
      </c>
      <c r="L466" s="4" t="n">
        <v>190</v>
      </c>
      <c r="M466" s="4" t="n">
        <v>57</v>
      </c>
      <c r="N466" s="5" t="n">
        <v>6.1</v>
      </c>
      <c r="O466" s="3" t="inlineStr">
        <is>
          <t>남향 선호타입 융자없음 매물전량확보중</t>
        </is>
      </c>
      <c r="P466" s="6">
        <f>HYPERLINK("https://fin.land.naver.com/articles/2653176709",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20000</v>
      </c>
      <c r="H467" s="4" t="n">
        <v>350</v>
      </c>
      <c r="I467" s="4" t="n">
        <v>0</v>
      </c>
      <c r="J467" s="4" t="n">
        <v>0</v>
      </c>
      <c r="K467" s="5" t="n">
        <v>0</v>
      </c>
      <c r="L467" s="4" t="n">
        <v>190</v>
      </c>
      <c r="M467" s="4" t="n">
        <v>57</v>
      </c>
      <c r="N467" s="5" t="n">
        <v>6.1</v>
      </c>
      <c r="O467" s="3" t="inlineStr">
        <is>
          <t>A타입 남서향 상가 마트 인근 매매도가능</t>
        </is>
      </c>
      <c r="P467" s="6">
        <f>HYPERLINK("https://fin.land.naver.com/articles/2653159507",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2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80000</v>
      </c>
      <c r="H468" s="4" t="n">
        <v>0</v>
      </c>
      <c r="I468" s="4" t="n">
        <v>721</v>
      </c>
      <c r="J468" s="4" t="n">
        <v>218</v>
      </c>
      <c r="K468" s="5" t="n">
        <v>367</v>
      </c>
      <c r="L468" s="4" t="n">
        <v>190</v>
      </c>
      <c r="M468" s="4" t="n">
        <v>57</v>
      </c>
      <c r="N468" s="5" t="n">
        <v>1403.5</v>
      </c>
      <c r="O468" s="3" t="inlineStr">
        <is>
          <t>nan</t>
        </is>
      </c>
      <c r="P468" s="6">
        <f>HYPERLINK("https://fin.land.naver.com/articles/2653151181",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726</v>
      </c>
      <c r="J469" s="4" t="n">
        <v>220</v>
      </c>
      <c r="K469" s="5" t="n">
        <v>363.6</v>
      </c>
      <c r="L469" s="4" t="n">
        <v>191</v>
      </c>
      <c r="M469" s="4" t="n">
        <v>58</v>
      </c>
      <c r="N469" s="5" t="n">
        <v>1379.3</v>
      </c>
      <c r="O469" s="3" t="inlineStr">
        <is>
          <t>B타입 전세8억 즉시입주가능 새롬동 최고위치 타운하우스 학군 좋아요</t>
        </is>
      </c>
      <c r="P469" s="6">
        <f>HYPERLINK("https://fin.land.naver.com/articles/2653150330",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국제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721</v>
      </c>
      <c r="J470" s="4" t="n">
        <v>218</v>
      </c>
      <c r="K470" s="5" t="n">
        <v>674.3</v>
      </c>
      <c r="L470" s="4" t="n">
        <v>190</v>
      </c>
      <c r="M470" s="4" t="n">
        <v>57</v>
      </c>
      <c r="N470" s="5" t="n">
        <v>2578.9</v>
      </c>
      <c r="O470" s="3" t="inlineStr">
        <is>
          <t>nan</t>
        </is>
      </c>
      <c r="P470" s="6">
        <f>HYPERLINK("https://fin.land.naver.com/articles/2654595742",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세종국제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190</v>
      </c>
      <c r="J471" s="4" t="n">
        <v>57</v>
      </c>
      <c r="K471" s="5" t="n">
        <v>2578.9</v>
      </c>
      <c r="L471" s="4" t="n">
        <v>190</v>
      </c>
      <c r="M471" s="4" t="n">
        <v>57</v>
      </c>
      <c r="N471" s="5" t="n">
        <v>2578.9</v>
      </c>
      <c r="O471" s="3" t="inlineStr">
        <is>
          <t>A타입, 지하주차장, 신축, 개별 엘레베이터, 입지 굿</t>
        </is>
      </c>
      <c r="P471" s="6">
        <f>HYPERLINK("https://fin.land.naver.com/articles/2652163827",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721</v>
      </c>
      <c r="J472" s="4" t="n">
        <v>218</v>
      </c>
      <c r="K472" s="5" t="n">
        <v>389.9</v>
      </c>
      <c r="L472" s="4" t="n">
        <v>190</v>
      </c>
      <c r="M472" s="4" t="n">
        <v>57</v>
      </c>
      <c r="N472" s="5" t="n">
        <v>1491.2</v>
      </c>
      <c r="O472" s="3" t="inlineStr">
        <is>
          <t>남향,방3개확장,빌트인냉장고,식세기,오븐,아일랜드식탁확장</t>
        </is>
      </c>
      <c r="P472" s="6">
        <f>HYPERLINK("https://fin.land.naver.com/articles/2654596868",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세종국제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0</t>
        </is>
      </c>
      <c r="E473" s="3" t="inlineStr">
        <is>
          <t>단독</t>
        </is>
      </c>
      <c r="F473" s="3" t="inlineStr">
        <is>
          <t>월세</t>
        </is>
      </c>
      <c r="G473" s="4" t="n">
        <v>10000</v>
      </c>
      <c r="H473" s="4" t="n">
        <v>380</v>
      </c>
      <c r="I473" s="4" t="n">
        <v>0</v>
      </c>
      <c r="J473" s="4" t="n">
        <v>0</v>
      </c>
      <c r="K473" s="5" t="n">
        <v>0</v>
      </c>
      <c r="L473" s="4" t="n">
        <v>191</v>
      </c>
      <c r="M473" s="4" t="n">
        <v>58</v>
      </c>
      <c r="N473" s="5" t="n">
        <v>6.6</v>
      </c>
      <c r="O473" s="3" t="inlineStr">
        <is>
          <t>매매, 전세도 가능, 신축, 엘레베이터, 입지 굿</t>
        </is>
      </c>
      <c r="P473" s="6">
        <f>HYPERLINK("https://fin.land.naver.com/articles/2654049514",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세종무지개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85000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1491.2</v>
      </c>
      <c r="O474" s="3" t="inlineStr">
        <is>
          <t>3층안방확장. B타입. 남향. 빌트인냉장고. 방3개 욕실3개</t>
        </is>
      </c>
      <c r="P474" s="6">
        <f>HYPERLINK("https://fin.land.naver.com/articles/2655244302",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2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147000</v>
      </c>
      <c r="H475" s="4" t="n">
        <v>0</v>
      </c>
      <c r="I475" s="4" t="n">
        <v>215</v>
      </c>
      <c r="J475" s="4" t="n">
        <v>65</v>
      </c>
      <c r="K475" s="5" t="n">
        <v>2261.5</v>
      </c>
      <c r="L475" s="4" t="n">
        <v>190</v>
      </c>
      <c r="M475" s="4" t="n">
        <v>57</v>
      </c>
      <c r="N475" s="5" t="n">
        <v>2578.9</v>
      </c>
      <c r="O475" s="3" t="inlineStr">
        <is>
          <t>남향,신축,전세가능,교통 상권 학군 우수</t>
        </is>
      </c>
      <c r="P475" s="6">
        <f>HYPERLINK("https://fin.land.naver.com/articles/2655636747",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해밀마을공간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월세</t>
        </is>
      </c>
      <c r="G476" s="4" t="n">
        <v>50000</v>
      </c>
      <c r="H476" s="4" t="n">
        <v>150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2.6</v>
      </c>
      <c r="O476" s="3" t="inlineStr">
        <is>
          <t>채광좋은 정남향 B타입  매매도가능 매물전량확보</t>
        </is>
      </c>
      <c r="P476" s="6">
        <f>HYPERLINK("https://fin.land.naver.com/articles/2654038761",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전세</t>
        </is>
      </c>
      <c r="G477" s="4" t="n">
        <v>85000</v>
      </c>
      <c r="H477" s="4" t="n">
        <v>0</v>
      </c>
      <c r="I477" s="4" t="n">
        <v>197</v>
      </c>
      <c r="J477" s="4" t="n">
        <v>60</v>
      </c>
      <c r="K477" s="5" t="n">
        <v>1416.7</v>
      </c>
      <c r="L477" s="4" t="n">
        <v>197</v>
      </c>
      <c r="M477" s="4" t="n">
        <v>60</v>
      </c>
      <c r="N477" s="5" t="n">
        <v>1416.7</v>
      </c>
      <c r="O477" s="3" t="inlineStr">
        <is>
          <t>산조망 58B1타입 인기좋은 타입</t>
        </is>
      </c>
      <c r="P477" s="6">
        <f>HYPERLINK("https://fin.land.naver.com/articles/2656313644",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강아지풀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170000</v>
      </c>
      <c r="H478" s="4" t="n">
        <v>0</v>
      </c>
      <c r="I478" s="4" t="n">
        <v>191</v>
      </c>
      <c r="J478" s="4" t="n">
        <v>58</v>
      </c>
      <c r="K478" s="5" t="n">
        <v>2931</v>
      </c>
      <c r="L478" s="4" t="n">
        <v>191</v>
      </c>
      <c r="M478" s="4" t="n">
        <v>58</v>
      </c>
      <c r="N478" s="5" t="n">
        <v>2931</v>
      </c>
      <c r="O478" s="3" t="inlineStr">
        <is>
          <t>전.월세도 가능, 신축 새입주, 개별 엘레베이터, 지하창고</t>
        </is>
      </c>
      <c r="P478" s="6">
        <f>HYPERLINK("https://fin.land.naver.com/articles/2655877417",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80000</v>
      </c>
      <c r="H479" s="4" t="n">
        <v>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1403.5</v>
      </c>
      <c r="O479" s="3" t="inlineStr">
        <is>
          <t>냠항 B타입 융자무 매물전량확보중</t>
        </is>
      </c>
      <c r="P479" s="6">
        <f>HYPERLINK("https://fin.land.naver.com/articles/2656123332",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남천안ic5분거리,넓은텃밭과 별채있는 단독주택 교통편리한 전원생활 강추</t>
        </is>
      </c>
      <c r="P482" s="6">
        <f>HYPERLINK("https://fin.land.naver.com/articles/2652448925",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효성넘버원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14000</v>
      </c>
      <c r="H483" s="4" t="n">
        <v>0</v>
      </c>
      <c r="I483" s="4" t="n">
        <v>449</v>
      </c>
      <c r="J483" s="4" t="n">
        <v>136</v>
      </c>
      <c r="K483" s="5" t="n">
        <v>102.9</v>
      </c>
      <c r="L483" s="4" t="n">
        <v>86</v>
      </c>
      <c r="M483" s="4" t="n">
        <v>26</v>
      </c>
      <c r="N483" s="5" t="n">
        <v>538.5</v>
      </c>
      <c r="O483" s="3" t="inlineStr">
        <is>
          <t>즉시입주, 내부 올수리, 텃밭있음, 밝고 깨끗한집</t>
        </is>
      </c>
      <c r="P483" s="6">
        <f>HYPERLINK("https://fin.land.naver.com/articles/2651842091",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신성1번지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10000</v>
      </c>
      <c r="H484" s="4" t="n">
        <v>0</v>
      </c>
      <c r="I484" s="4" t="n">
        <v>84</v>
      </c>
      <c r="J484" s="4" t="n">
        <v>25</v>
      </c>
      <c r="K484" s="5" t="n">
        <v>400</v>
      </c>
      <c r="L484" s="4" t="n">
        <v>84</v>
      </c>
      <c r="M484" s="4" t="n">
        <v>25</v>
      </c>
      <c r="N484" s="5" t="n">
        <v>400</v>
      </c>
      <c r="O484" s="3" t="inlineStr">
        <is>
          <t>공실  전체리모델링 위치좋아요</t>
        </is>
      </c>
      <c r="P484" s="6">
        <f>HYPERLINK("https://fin.land.naver.com/articles/2655528377",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새롬이지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사진o 올수리 단독주택 급매, 주차편리, 즉시입주</t>
        </is>
      </c>
      <c r="P485" s="6">
        <f>HYPERLINK("https://fin.land.naver.com/articles/2654653606",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금빛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태양광, 방4개, 화장실3개, 각방 에어컨, 실링팬</t>
        </is>
      </c>
      <c r="P488" s="6">
        <f>HYPERLINK("https://fin.land.naver.com/articles/2654227256",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태양광설치, 풀에어컨, 실링팬, 방4개, 화장실3개</t>
        </is>
      </c>
      <c r="P489" s="6">
        <f>HYPERLINK("https://fin.land.naver.com/articles/2652842053",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세종무지개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벽난로. 태양광, 국제고인근 남향. 가격조율 가능한</t>
        </is>
      </c>
      <c r="P492" s="6">
        <f>HYPERLINK("https://fin.land.naver.com/articles/2652825554",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최무연</t>
        </is>
      </c>
      <c r="T492" s="4" t="n">
        <v>1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조율가능 국제고인근 정남향 아이들의 놀이터같은 특색주택</t>
        </is>
      </c>
      <c r="P493" s="6">
        <f>HYPERLINK("https://fin.land.naver.com/articles/2654863236",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세종스타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벽난로, 태양광, 정남향으로 가격조율가능한 단독주택</t>
        </is>
      </c>
      <c r="P494" s="6">
        <f>HYPERLINK("https://fin.land.naver.com/articles/2654933365",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명진</t>
        </is>
      </c>
      <c r="T494" s="4" t="n">
        <v>2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남향집으로 따뜻한 집 입니다. 입주는 협의 가능하며 가격절충가능합니다.</t>
        </is>
      </c>
      <c r="P495" s="6">
        <f>HYPERLINK("https://fin.land.naver.com/articles/2653236355",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주황푸르지오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353</v>
      </c>
      <c r="J497" s="4" t="n">
        <v>107</v>
      </c>
      <c r="K497" s="5" t="n">
        <v>1308.4</v>
      </c>
      <c r="L497" s="4" t="n">
        <v>160</v>
      </c>
      <c r="M497" s="4" t="n">
        <v>48</v>
      </c>
      <c r="N497" s="5" t="n">
        <v>2916.7</v>
      </c>
      <c r="O497" s="3" t="inlineStr">
        <is>
          <t>주택 에어컨5개 마당있고 편안한 주택매물입니다.</t>
        </is>
      </c>
      <c r="P497" s="6">
        <f>HYPERLINK("https://fin.land.naver.com/articles/2654113974",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세석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전용 48.6p, 1.2층 단독주택, 시스템에어컨풀, 협의입주</t>
        </is>
      </c>
      <c r="P498" s="6">
        <f>HYPERLINK("https://fin.land.naver.com/articles/2654893215",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145000</v>
      </c>
      <c r="H499" s="4" t="n">
        <v>0</v>
      </c>
      <c r="I499" s="4" t="n">
        <v>353</v>
      </c>
      <c r="J499" s="4" t="n">
        <v>107</v>
      </c>
      <c r="K499" s="5" t="n">
        <v>1355.1</v>
      </c>
      <c r="L499" s="4" t="n">
        <v>160</v>
      </c>
      <c r="M499" s="4" t="n">
        <v>48</v>
      </c>
      <c r="N499" s="5" t="n">
        <v>3020.8</v>
      </c>
      <c r="O499" s="3" t="inlineStr">
        <is>
          <t>정원있는 조용한 전원주택 매매</t>
        </is>
      </c>
      <c r="P499" s="6">
        <f>HYPERLINK("https://fin.land.naver.com/articles/2656322024",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인서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튼튼하게 지어진 집   교통편리 정남향</t>
        </is>
      </c>
      <c r="P500" s="6">
        <f>HYPERLINK("https://fin.land.naver.com/articles/2652845581",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세종푸르지오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160</v>
      </c>
      <c r="J501" s="4" t="n">
        <v>48</v>
      </c>
      <c r="K501" s="5" t="n">
        <v>2916.7</v>
      </c>
      <c r="L501" s="4" t="n">
        <v>160</v>
      </c>
      <c r="M501" s="4" t="n">
        <v>48</v>
      </c>
      <c r="N501" s="5" t="n">
        <v>2916.7</v>
      </c>
      <c r="O501" s="3" t="inlineStr">
        <is>
          <t>2층주택, 현재 주인거주로 잘 관리된 집</t>
        </is>
      </c>
      <c r="P501" s="6">
        <f>HYPERLINK("https://fin.land.naver.com/articles/2652794190",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강아지풀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아름동 입지좋은 단독주택 매매, 올리모델링</t>
        </is>
      </c>
      <c r="P504" s="6">
        <f>HYPERLINK("https://fin.land.naver.com/articles/2654691330",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올리모델링 방3개 욕실3개 시스템에어컨5대 조율가능</t>
        </is>
      </c>
      <c r="P505" s="6">
        <f>HYPERLINK("https://fin.land.naver.com/articles/2655177366",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세종스타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nan</t>
        </is>
      </c>
      <c r="P508" s="6">
        <f>HYPERLINK("https://fin.land.naver.com/articles/2652438889",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세종갑부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입주협의 위치좋은 단독주택 관리상태굿 가격조정가능</t>
        </is>
      </c>
      <c r="P509" s="6">
        <f>HYPERLINK("https://fin.land.naver.com/articles/2656489015",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고운동리치세종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방5개, 화장실2개, 고급 단독주택, 태양광</t>
        </is>
      </c>
      <c r="P510" s="6">
        <f>HYPERLINK("https://fin.land.naver.com/articles/2651949107",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명진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고급 단독주택 매매, 태양광 설치, 1층에 방2개</t>
        </is>
      </c>
      <c r="P511" s="6">
        <f>HYPERLINK("https://fin.land.naver.com/articles/2652844353",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8000</v>
      </c>
      <c r="H521" s="4" t="n">
        <v>0</v>
      </c>
      <c r="I521" s="4" t="n">
        <v>1023</v>
      </c>
      <c r="J521" s="4" t="n">
        <v>309</v>
      </c>
      <c r="K521" s="5" t="n">
        <v>25.9</v>
      </c>
      <c r="L521" s="4" t="n">
        <v>174</v>
      </c>
      <c r="M521" s="4" t="n">
        <v>53</v>
      </c>
      <c r="N521" s="5" t="n">
        <v>150.9</v>
      </c>
      <c r="O521" s="3" t="inlineStr">
        <is>
          <t>전원형 단독주택, 창고, 주차장 건물 별도로 있어요</t>
        </is>
      </c>
      <c r="P521" s="6">
        <f>HYPERLINK("https://fin.land.naver.com/articles/2655045299",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세종대박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10000</v>
      </c>
      <c r="H522" s="4" t="n">
        <v>0</v>
      </c>
      <c r="I522" s="4" t="n">
        <v>1023</v>
      </c>
      <c r="J522" s="4" t="n">
        <v>309</v>
      </c>
      <c r="K522" s="5" t="n">
        <v>32.4</v>
      </c>
      <c r="L522" s="4" t="n">
        <v>174</v>
      </c>
      <c r="M522" s="4" t="n">
        <v>53</v>
      </c>
      <c r="N522" s="5" t="n">
        <v>188.7</v>
      </c>
      <c r="O522" s="3" t="inlineStr">
        <is>
          <t>저렴한 전원주택 전세, 근처 전 텃밭으로 사용가능, 신축 깨끗</t>
        </is>
      </c>
      <c r="P522" s="6">
        <f>HYPERLINK("https://fin.land.naver.com/articles/2653499367",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풍경채대지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26</v>
      </c>
      <c r="M528" s="4" t="n">
        <v>8</v>
      </c>
      <c r="N528" s="5" t="n">
        <v>5</v>
      </c>
      <c r="O528" s="3" t="inlineStr">
        <is>
          <t>신축 풀옵션  엘베 중문 세종10분소요</t>
        </is>
      </c>
      <c r="P528" s="6">
        <f>HYPERLINK("https://fin.land.naver.com/articles/2651076474",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8000</v>
      </c>
      <c r="H532" s="4" t="n">
        <v>50</v>
      </c>
      <c r="I532" s="4" t="n">
        <v>178</v>
      </c>
      <c r="J532" s="4" t="n">
        <v>54</v>
      </c>
      <c r="K532" s="5" t="n">
        <v>0.9</v>
      </c>
      <c r="L532" s="4" t="n">
        <v>60</v>
      </c>
      <c r="M532" s="4" t="n">
        <v>18</v>
      </c>
      <c r="N532" s="5" t="n">
        <v>2.8</v>
      </c>
      <c r="O532" s="3" t="inlineStr">
        <is>
          <t>o합리적인가격o최상의컨디션o수납부자o개인테라스o</t>
        </is>
      </c>
      <c r="P532" s="6">
        <f>HYPERLINK("https://fin.land.naver.com/articles/2653959639",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5000</v>
      </c>
      <c r="H533" s="4" t="n">
        <v>80</v>
      </c>
      <c r="I533" s="4" t="n">
        <v>178</v>
      </c>
      <c r="J533" s="4" t="n">
        <v>54</v>
      </c>
      <c r="K533" s="5" t="n">
        <v>1.5</v>
      </c>
      <c r="L533" s="4" t="n">
        <v>42</v>
      </c>
      <c r="M533" s="4" t="n">
        <v>13</v>
      </c>
      <c r="N533" s="5" t="n">
        <v>6.2</v>
      </c>
      <c r="O533" s="3" t="inlineStr">
        <is>
          <t>o합리적인가격o최상의컨디션o수납부자o개인테라스o</t>
        </is>
      </c>
      <c r="P533" s="6">
        <f>HYPERLINK("https://fin.land.naver.com/articles/2653959584",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뉴펜트라움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190000</v>
      </c>
      <c r="H534" s="4" t="n">
        <v>0</v>
      </c>
      <c r="I534" s="4" t="n">
        <v>556</v>
      </c>
      <c r="J534" s="4" t="n">
        <v>168</v>
      </c>
      <c r="K534" s="5" t="n">
        <v>1131</v>
      </c>
      <c r="L534" s="4" t="n">
        <v>580</v>
      </c>
      <c r="M534" s="4" t="n">
        <v>175</v>
      </c>
      <c r="N534" s="5" t="n">
        <v>1085.7</v>
      </c>
      <c r="O534" s="3" t="inlineStr">
        <is>
          <t>준신축 산업단지인근 임대위치 좋은 다가구주택 추천</t>
        </is>
      </c>
      <c r="P534" s="6">
        <f>HYPERLINK("https://fin.land.naver.com/articles/2652957380",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뉴신태양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HYPERLINK("https://fin.land.naver.com/articles/2654821598",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11.3일이후,엘리베이터있는 주방분리형,도시가스</t>
        </is>
      </c>
      <c r="P539" s="6">
        <f>HYPERLINK("https://fin.land.naver.com/articles/2654939488",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11.2일이후,엘리베이터 있는 원룸,6달도가,방1개,화1,주차편리합니다.</t>
        </is>
      </c>
      <c r="P540" s="6">
        <f>HYPERLINK("https://fin.land.naver.com/articles/2652789917",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단기임대</t>
        </is>
      </c>
      <c r="G541" s="4" t="n">
        <v>200</v>
      </c>
      <c r="H541" s="4" t="n">
        <v>30</v>
      </c>
      <c r="I541" s="4" t="n">
        <v>164</v>
      </c>
      <c r="J541" s="4" t="n">
        <v>50</v>
      </c>
      <c r="K541" s="5" t="n">
        <v>4</v>
      </c>
      <c r="L541" s="4" t="n">
        <v>26</v>
      </c>
      <c r="M541" s="4" t="n">
        <v>8</v>
      </c>
      <c r="N541" s="5" t="n">
        <v>25</v>
      </c>
      <c r="O541" s="3" t="inlineStr">
        <is>
          <t>nan</t>
        </is>
      </c>
      <c r="P541" s="6">
        <f>HYPERLINK("https://fin.land.naver.com/articles/2651138619",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30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nan</t>
        </is>
      </c>
      <c r="P542" s="6">
        <f>HYPERLINK("https://fin.land.naver.com/articles/2651124675",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다가구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0.6</v>
      </c>
      <c r="L545" s="4" t="n">
        <v>26</v>
      </c>
      <c r="M545" s="4" t="n">
        <v>8</v>
      </c>
      <c r="N545" s="5" t="n">
        <v>3.8</v>
      </c>
      <c r="O545" s="3" t="inlineStr">
        <is>
          <t>12.20일이후,엘리베이터 있는 원룸,6달도가,방1개,화1,주차편리</t>
        </is>
      </c>
      <c r="P545" s="6">
        <f>HYPERLINK("https://fin.land.naver.com/articles/2652081673",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스마트산업단지 예정 초입위치 수익형 다가구주택 통매매</t>
        </is>
      </c>
      <c r="P547" s="6">
        <f>HYPERLINK("https://fin.land.naver.com/articles/2651026578",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세종 국가산단 관문1.2조 개발 최대 수혜지,19가구 다가구 통매매</t>
        </is>
      </c>
      <c r="P548" s="6">
        <f>HYPERLINK("https://fin.land.naver.com/articles/2652746368",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찬스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상가주택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432</v>
      </c>
      <c r="J549" s="4" t="n">
        <v>131</v>
      </c>
      <c r="K549" s="5" t="n">
        <v>1030.5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HYPERLINK("https://fin.land.naver.com/articles/2652270549",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436</v>
      </c>
      <c r="J550" s="4" t="n">
        <v>132</v>
      </c>
      <c r="K550" s="5" t="n">
        <v>1022.7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HYPERLINK("https://fin.land.naver.com/articles/2653243882",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0.7</v>
      </c>
      <c r="L553" s="4" t="n">
        <v>23</v>
      </c>
      <c r="M553" s="4" t="n">
        <v>7</v>
      </c>
      <c r="N553" s="5" t="n">
        <v>5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HYPERLINK("https://fin.land.naver.com/articles/2654818101",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4.2</v>
      </c>
      <c r="L554" s="4" t="n">
        <v>23</v>
      </c>
      <c r="M554" s="4" t="n">
        <v>7</v>
      </c>
      <c r="N554" s="5" t="n">
        <v>28.6</v>
      </c>
      <c r="O554" s="3" t="inlineStr">
        <is>
          <t>즉시7일여유 방1개 화1개 인기많은원룸, 도시가스,내부 밝은 화이트톤</t>
        </is>
      </c>
      <c r="P554" s="6">
        <f>HYPERLINK("https://fin.land.naver.com/articles/2655200081",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4.2</v>
      </c>
      <c r="L556" s="4" t="n">
        <v>23</v>
      </c>
      <c r="M556" s="4" t="n">
        <v>7</v>
      </c>
      <c r="N556" s="5" t="n">
        <v>28.6</v>
      </c>
      <c r="O556" s="3" t="inlineStr">
        <is>
          <t>즉시 7일여유,햇빛우수,인기많은원룸,도시가스 ,산울동 차량 5분정도</t>
        </is>
      </c>
      <c r="P556" s="6">
        <f>HYPERLINK("https://fin.land.naver.com/articles/2654819334",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0.7</v>
      </c>
      <c r="L559" s="4" t="n">
        <v>23</v>
      </c>
      <c r="M559" s="4" t="n">
        <v>7</v>
      </c>
      <c r="N559" s="5" t="n">
        <v>5</v>
      </c>
      <c r="O559" s="3" t="inlineStr">
        <is>
          <t>nan</t>
        </is>
      </c>
      <c r="P559" s="6">
        <f>HYPERLINK("https://fin.land.naver.com/articles/2656674167",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11.25일이후,내부밝은 인기많은 원룸,욕실창문있는구조입니다.</t>
        </is>
      </c>
      <c r="P564" s="6">
        <f>HYPERLINK("https://fin.land.naver.com/articles/2651493792",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nan</t>
        </is>
      </c>
      <c r="P565" s="6">
        <f>HYPERLINK("https://fin.land.naver.com/articles/2651492332",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500</v>
      </c>
      <c r="H567" s="4" t="n">
        <v>61</v>
      </c>
      <c r="I567" s="4" t="n">
        <v>193</v>
      </c>
      <c r="J567" s="4" t="n">
        <v>58</v>
      </c>
      <c r="K567" s="5" t="n">
        <v>1.1</v>
      </c>
      <c r="L567" s="4" t="n">
        <v>49</v>
      </c>
      <c r="M567" s="4" t="n">
        <v>15</v>
      </c>
      <c r="N567" s="5" t="n">
        <v>4.1</v>
      </c>
      <c r="O567" s="3" t="inlineStr">
        <is>
          <t>2룸 작은테라스 깔끔 조용히쉴수있는곳 세종초근접</t>
        </is>
      </c>
      <c r="P567" s="6">
        <f>HYPERLINK("https://fin.land.naver.com/articles/2654332796",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연기더조은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35</v>
      </c>
      <c r="I568" s="4" t="n">
        <v>193</v>
      </c>
      <c r="J568" s="4" t="n">
        <v>58</v>
      </c>
      <c r="K568" s="5" t="n">
        <v>0.6</v>
      </c>
      <c r="L568" s="4" t="n">
        <v>25</v>
      </c>
      <c r="M568" s="4" t="n">
        <v>8</v>
      </c>
      <c r="N568" s="5" t="n">
        <v>4.4</v>
      </c>
      <c r="O568" s="3" t="inlineStr">
        <is>
          <t>인기좋은 풀옵션 완비방  넓은창  채광좋음   주차편함  나성동10분</t>
        </is>
      </c>
      <c r="P568" s="6">
        <f>HYPERLINK("https://fin.land.naver.com/articles/2656661500",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수산리 독일마을 내 세컨하우스로 좋은 집. 자갈마당.</t>
        </is>
      </c>
      <c r="P573" s="6">
        <f>HYPERLINK("https://fin.land.naver.com/articles/2652103284",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미스터홈즈강남지사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40000</v>
      </c>
      <c r="H574" s="4" t="n">
        <v>0</v>
      </c>
      <c r="I574" s="4" t="n">
        <v>404</v>
      </c>
      <c r="J574" s="4" t="n">
        <v>122</v>
      </c>
      <c r="K574" s="5" t="n">
        <v>327.9</v>
      </c>
      <c r="L574" s="4" t="n">
        <v>42</v>
      </c>
      <c r="M574" s="4" t="n">
        <v>13</v>
      </c>
      <c r="N574" s="5" t="n">
        <v>3076.9</v>
      </c>
      <c r="O574" s="3" t="inlineStr">
        <is>
          <t>세종 인접 전원단지내  단독 주택, 2종근린</t>
        </is>
      </c>
      <c r="P574" s="6">
        <f>HYPERLINK("https://fin.land.naver.com/articles/2655091869",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큰길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38000</v>
      </c>
      <c r="H575" s="4" t="n">
        <v>0</v>
      </c>
      <c r="I575" s="4" t="n">
        <v>404</v>
      </c>
      <c r="J575" s="4" t="n">
        <v>122</v>
      </c>
      <c r="K575" s="5" t="n">
        <v>311.5</v>
      </c>
      <c r="L575" s="4" t="n">
        <v>42</v>
      </c>
      <c r="M575" s="4" t="n">
        <v>13</v>
      </c>
      <c r="N575" s="5" t="n">
        <v>2923.1</v>
      </c>
      <c r="O575" s="3" t="inlineStr">
        <is>
          <t>세컨하우스 추천,행복도심 매우 근접, 도심의 편리함과 힐링을 동시에</t>
        </is>
      </c>
      <c r="P575" s="6">
        <f>HYPERLINK("https://fin.land.naver.com/articles/2655996537",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세종신한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1.2</v>
      </c>
      <c r="L577" s="4" t="n">
        <v>23</v>
      </c>
      <c r="M577" s="4" t="n">
        <v>7</v>
      </c>
      <c r="N577" s="5" t="n">
        <v>6.4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HYPERLINK("https://fin.land.naver.com/articles/2655226598",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23</v>
      </c>
      <c r="M578" s="4" t="n">
        <v>7</v>
      </c>
      <c r="N578" s="5" t="n">
        <v>28.6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HYPERLINK("https://fin.land.naver.com/articles/2655167521",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40</v>
      </c>
      <c r="I579" s="4" t="n">
        <v>129</v>
      </c>
      <c r="J579" s="4" t="n">
        <v>39</v>
      </c>
      <c r="K579" s="5" t="n">
        <v>1</v>
      </c>
      <c r="L579" s="4" t="n">
        <v>39</v>
      </c>
      <c r="M579" s="4" t="n">
        <v>12</v>
      </c>
      <c r="N579" s="5" t="n">
        <v>3.3</v>
      </c>
      <c r="O579" s="3" t="inlineStr">
        <is>
          <t>11.3일이,후 방1개 거실별도1.5룸,4달도가능,도시가스 입니다.</t>
        </is>
      </c>
      <c r="P579" s="6">
        <f>HYPERLINK("https://fin.land.naver.com/articles/2653913590",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월세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1.5</v>
      </c>
      <c r="L580" s="4" t="n">
        <v>59</v>
      </c>
      <c r="M580" s="4" t="n">
        <v>18</v>
      </c>
      <c r="N580" s="5" t="n">
        <v>3.3</v>
      </c>
      <c r="O580" s="3" t="inlineStr">
        <is>
          <t>11.30일이후,방2개,거화1,거실별도1.5룸  6달도가능합니다.</t>
        </is>
      </c>
      <c r="P580" s="6">
        <f>HYPERLINK("https://fin.land.naver.com/articles/2651358410",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다가구</t>
        </is>
      </c>
      <c r="F581" s="3" t="inlineStr">
        <is>
          <t>단기임대</t>
        </is>
      </c>
      <c r="G581" s="4" t="n">
        <v>300</v>
      </c>
      <c r="H581" s="4" t="n">
        <v>60</v>
      </c>
      <c r="I581" s="4" t="n">
        <v>129</v>
      </c>
      <c r="J581" s="4" t="n">
        <v>39</v>
      </c>
      <c r="K581" s="5" t="n">
        <v>7.7</v>
      </c>
      <c r="L581" s="4" t="n">
        <v>59</v>
      </c>
      <c r="M581" s="4" t="n">
        <v>18</v>
      </c>
      <c r="N581" s="5" t="n">
        <v>16.7</v>
      </c>
      <c r="O581" s="3" t="inlineStr">
        <is>
          <t>11.30일이후,방2개,거화1,거실별도1.5룸  6달도가능합니다.</t>
        </is>
      </c>
      <c r="P581" s="6">
        <f>HYPERLINK("https://fin.land.naver.com/articles/2651358883",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4500</v>
      </c>
      <c r="H583" s="4" t="n">
        <v>0</v>
      </c>
      <c r="I583" s="4" t="n">
        <v>128</v>
      </c>
      <c r="J583" s="4" t="n">
        <v>39</v>
      </c>
      <c r="K583" s="5" t="n">
        <v>115.4</v>
      </c>
      <c r="L583" s="4" t="n">
        <v>39</v>
      </c>
      <c r="M583" s="4" t="n">
        <v>12</v>
      </c>
      <c r="N583" s="5" t="n">
        <v>375</v>
      </c>
      <c r="O583" s="3" t="inlineStr">
        <is>
          <t>10.8일이후,방1개 거실별도 1.5 ,6달도 가능,주방분리,도시가스</t>
        </is>
      </c>
      <c r="P583" s="6">
        <f>HYPERLINK("https://fin.land.naver.com/articles/2651122920",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40</v>
      </c>
      <c r="I584" s="4" t="n">
        <v>132</v>
      </c>
      <c r="J584" s="4" t="n">
        <v>40</v>
      </c>
      <c r="K584" s="5" t="n">
        <v>1</v>
      </c>
      <c r="L584" s="4" t="n">
        <v>39</v>
      </c>
      <c r="M584" s="4" t="n">
        <v>12</v>
      </c>
      <c r="N584" s="5" t="n">
        <v>3.3</v>
      </c>
      <c r="O584" s="3" t="inlineStr">
        <is>
          <t>10.26일이후 ,방1개 거실별도 1.5룸,3개월은 45만원가능,도시가스</t>
        </is>
      </c>
      <c r="P584" s="6">
        <f>HYPERLINK("https://fin.land.naver.com/articles/2653231040",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신동서남북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7000</v>
      </c>
      <c r="H590" s="4" t="n">
        <v>0</v>
      </c>
      <c r="I590" s="4" t="n">
        <v>143</v>
      </c>
      <c r="J590" s="4" t="n">
        <v>43</v>
      </c>
      <c r="K590" s="5" t="n">
        <v>162.8</v>
      </c>
      <c r="L590" s="4" t="n">
        <v>49</v>
      </c>
      <c r="M590" s="4" t="n">
        <v>15</v>
      </c>
      <c r="N590" s="5" t="n">
        <v>466.7</v>
      </c>
      <c r="O590" s="3" t="inlineStr">
        <is>
          <t>10.20일이후,주인세대같은 1.5,방1개 넓은거실별도,주방,화2개</t>
        </is>
      </c>
      <c r="P590" s="6">
        <f>HYPERLINK("https://fin.land.naver.com/articles/2652260217",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33</v>
      </c>
      <c r="I591" s="4" t="n">
        <v>142</v>
      </c>
      <c r="J591" s="4" t="n">
        <v>43</v>
      </c>
      <c r="K591" s="5" t="n">
        <v>0.8</v>
      </c>
      <c r="L591" s="4" t="n">
        <v>26</v>
      </c>
      <c r="M591" s="4" t="n">
        <v>8</v>
      </c>
      <c r="N591" s="5" t="n">
        <v>4.1</v>
      </c>
      <c r="O591" s="3" t="inlineStr">
        <is>
          <t>즉시입주,3달은 35만원 6달이상 33가능,산울동차량3분정도,주차편리</t>
        </is>
      </c>
      <c r="P591" s="6">
        <f>HYPERLINK("https://fin.land.naver.com/articles/2652272361",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3.3</v>
      </c>
      <c r="L593" s="4" t="n">
        <v>23</v>
      </c>
      <c r="M593" s="4" t="n">
        <v>7</v>
      </c>
      <c r="N593" s="5" t="n">
        <v>28.6</v>
      </c>
      <c r="O593" s="3" t="inlineStr">
        <is>
          <t>11.5일이후,4달도 가능,산울동 차량 3분,연기리 상권이용편리,도시가스</t>
        </is>
      </c>
      <c r="P593" s="6">
        <f>HYPERLINK("https://fin.land.naver.com/articles/2654824575",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11.5일이후,3달은 35만원으로 가능,산울동차량 3분, 연남초 인근</t>
        </is>
      </c>
      <c r="P594" s="6">
        <f>HYPERLINK("https://fin.land.naver.com/articles/2653237326",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신동서남북</t>
        </is>
      </c>
      <c r="T594" s="4" t="n">
        <v>2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11.5일이후,6달도 가능,산울동 차량 3분,연기리 상권이용편리,도시가스</t>
        </is>
      </c>
      <c r="P595" s="6">
        <f>HYPERLINK("https://fin.land.naver.com/articles/2652130579",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0.5</v>
      </c>
      <c r="L596" s="4" t="n">
        <v>23</v>
      </c>
      <c r="M596" s="4" t="n">
        <v>7</v>
      </c>
      <c r="N596" s="5" t="n">
        <v>4.3</v>
      </c>
      <c r="O596" s="3" t="inlineStr">
        <is>
          <t>11.2일이후, 6달도가능,산울동 차량 3분, 난방도시가스 입니다</t>
        </is>
      </c>
      <c r="P596" s="6">
        <f>HYPERLINK("https://fin.land.naver.com/articles/2651130755",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3.3</v>
      </c>
      <c r="L597" s="4" t="n">
        <v>23</v>
      </c>
      <c r="M597" s="4" t="n">
        <v>7</v>
      </c>
      <c r="N597" s="5" t="n">
        <v>28.6</v>
      </c>
      <c r="O597" s="3" t="inlineStr">
        <is>
          <t>11.5일이후,3달도가능,도시가스 산울동 차량3</t>
        </is>
      </c>
      <c r="P597" s="6">
        <f>HYPERLINK("https://fin.land.naver.com/articles/2652133119",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0.5</v>
      </c>
      <c r="L598" s="4" t="n">
        <v>23</v>
      </c>
      <c r="M598" s="4" t="n">
        <v>7</v>
      </c>
      <c r="N598" s="5" t="n">
        <v>4.3</v>
      </c>
      <c r="O598" s="3" t="inlineStr">
        <is>
          <t>11.5일이후,3달도 가능,산울동차량 3분, 연남초 인근</t>
        </is>
      </c>
      <c r="P598" s="6">
        <f>HYPERLINK("https://fin.land.naver.com/articles/2652228769",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신동서남북</t>
        </is>
      </c>
      <c r="T598" s="4" t="n">
        <v>2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다가구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11.5일이후,3달도가능 난방도시가스,산울동 차량3분이내 거리입니다.</t>
        </is>
      </c>
      <c r="P599" s="6">
        <f>HYPERLINK("https://fin.land.naver.com/articles/2652234251",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23</v>
      </c>
      <c r="J612" s="4" t="n">
        <v>7</v>
      </c>
      <c r="K612" s="5" t="n">
        <v>4.3</v>
      </c>
      <c r="L612" s="4" t="n">
        <v>23</v>
      </c>
      <c r="M612" s="4" t="n">
        <v>7</v>
      </c>
      <c r="N612" s="5" t="n">
        <v>4.3</v>
      </c>
      <c r="O612" s="3" t="inlineStr">
        <is>
          <t>풀옵션, 깨끗한 방입니다.</t>
        </is>
      </c>
      <c r="P612" s="6">
        <f>HYPERLINK("https://fin.land.naver.com/articles/2651251240",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세종토박이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3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0</v>
      </c>
      <c r="J613" s="4" t="n">
        <v>0</v>
      </c>
      <c r="K613" s="5" t="n">
        <v>0</v>
      </c>
      <c r="L613" s="4" t="n">
        <v>26</v>
      </c>
      <c r="M613" s="4" t="n">
        <v>8</v>
      </c>
      <c r="N613" s="5" t="n">
        <v>3.8</v>
      </c>
      <c r="O613" s="3" t="inlineStr">
        <is>
          <t>깨끗한 원룸,풀옵션</t>
        </is>
      </c>
      <c r="P613" s="6">
        <f>HYPERLINK("https://fin.land.naver.com/articles/2655065534",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전세</t>
        </is>
      </c>
      <c r="G616" s="4" t="n">
        <v>3000</v>
      </c>
      <c r="H616" s="4" t="n">
        <v>0</v>
      </c>
      <c r="I616" s="4" t="n">
        <v>140</v>
      </c>
      <c r="J616" s="4" t="n">
        <v>42</v>
      </c>
      <c r="K616" s="5" t="n">
        <v>71.40000000000001</v>
      </c>
      <c r="L616" s="4" t="n">
        <v>23</v>
      </c>
      <c r="M616" s="4" t="n">
        <v>7</v>
      </c>
      <c r="N616" s="5" t="n">
        <v>428.6</v>
      </c>
      <c r="O616" s="3" t="inlineStr">
        <is>
          <t>nan</t>
        </is>
      </c>
      <c r="P616" s="6">
        <f>HYPERLINK("https://fin.land.naver.com/articles/2655890797",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다가구</t>
        </is>
      </c>
      <c r="F620" s="3" t="inlineStr">
        <is>
          <t>전세</t>
        </is>
      </c>
      <c r="G620" s="4" t="n">
        <v>3000</v>
      </c>
      <c r="H620" s="4" t="n">
        <v>0</v>
      </c>
      <c r="I620" s="4" t="n">
        <v>138</v>
      </c>
      <c r="J620" s="4" t="n">
        <v>42</v>
      </c>
      <c r="K620" s="5" t="n">
        <v>71.40000000000001</v>
      </c>
      <c r="L620" s="4" t="n">
        <v>23</v>
      </c>
      <c r="M620" s="4" t="n">
        <v>7</v>
      </c>
      <c r="N620" s="5" t="n">
        <v>428.6</v>
      </c>
      <c r="O620" s="3" t="inlineStr">
        <is>
          <t>즉시, 5일여유,햇빛우수 ,대중교통이용,주변상권이용 편리합니다.</t>
        </is>
      </c>
      <c r="P620" s="6">
        <f>HYPERLINK("https://fin.land.naver.com/articles/2656169968",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전세</t>
        </is>
      </c>
      <c r="G621" s="4" t="n">
        <v>2500</v>
      </c>
      <c r="H621" s="4" t="n">
        <v>0</v>
      </c>
      <c r="I621" s="4" t="n">
        <v>138</v>
      </c>
      <c r="J621" s="4" t="n">
        <v>42</v>
      </c>
      <c r="K621" s="5" t="n">
        <v>59.5</v>
      </c>
      <c r="L621" s="4" t="n">
        <v>23</v>
      </c>
      <c r="M621" s="4" t="n">
        <v>7</v>
      </c>
      <c r="N621" s="5" t="n">
        <v>357.1</v>
      </c>
      <c r="O621" s="3" t="inlineStr">
        <is>
          <t>nan</t>
        </is>
      </c>
      <c r="P621" s="6">
        <f>HYPERLINK("https://fin.land.naver.com/articles/2655783505",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2000</v>
      </c>
      <c r="H622" s="4" t="n">
        <v>10</v>
      </c>
      <c r="I622" s="4" t="n">
        <v>138</v>
      </c>
      <c r="J622" s="4" t="n">
        <v>42</v>
      </c>
      <c r="K622" s="5" t="n">
        <v>0.2</v>
      </c>
      <c r="L622" s="4" t="n">
        <v>23</v>
      </c>
      <c r="M622" s="4" t="n">
        <v>7</v>
      </c>
      <c r="N622" s="5" t="n">
        <v>1.4</v>
      </c>
      <c r="O622" s="3" t="inlineStr">
        <is>
          <t>nan</t>
        </is>
      </c>
      <c r="P622" s="6">
        <f>HYPERLINK("https://fin.land.naver.com/articles/2652738262",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2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HYPERLINK("https://fin.land.naver.com/articles/2655163775",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신동서남북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HYPERLINK("https://fin.land.naver.com/articles/2652223313",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다가구</t>
        </is>
      </c>
      <c r="F625" s="3" t="inlineStr">
        <is>
          <t>전세</t>
        </is>
      </c>
      <c r="G625" s="4" t="n">
        <v>3000</v>
      </c>
      <c r="H625" s="4" t="n">
        <v>0</v>
      </c>
      <c r="I625" s="4" t="n">
        <v>138</v>
      </c>
      <c r="J625" s="4" t="n">
        <v>42</v>
      </c>
      <c r="K625" s="5" t="n">
        <v>71.40000000000001</v>
      </c>
      <c r="L625" s="4" t="n">
        <v>23</v>
      </c>
      <c r="M625" s="4" t="n">
        <v>7</v>
      </c>
      <c r="N625" s="5" t="n">
        <v>428.6</v>
      </c>
      <c r="O625" s="3" t="inlineStr">
        <is>
          <t>즉시, 5일여유,햇빛우수 ,대중교통이용,주변상권이용 편리합니다.</t>
        </is>
      </c>
      <c r="P625" s="6">
        <f>HYPERLINK("https://fin.land.naver.com/articles/2655337753",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800</v>
      </c>
      <c r="H626" s="4" t="n">
        <v>22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3.1</v>
      </c>
      <c r="O626" s="3" t="inlineStr">
        <is>
          <t>nan</t>
        </is>
      </c>
      <c r="P626" s="6">
        <f>HYPERLINK("https://fin.land.naver.com/articles/2656169961",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전세</t>
        </is>
      </c>
      <c r="G627" s="4" t="n">
        <v>2500</v>
      </c>
      <c r="H627" s="4" t="n">
        <v>0</v>
      </c>
      <c r="I627" s="4" t="n">
        <v>138</v>
      </c>
      <c r="J627" s="4" t="n">
        <v>42</v>
      </c>
      <c r="K627" s="5" t="n">
        <v>59.5</v>
      </c>
      <c r="L627" s="4" t="n">
        <v>23</v>
      </c>
      <c r="M627" s="4" t="n">
        <v>7</v>
      </c>
      <c r="N627" s="5" t="n">
        <v>357.1</v>
      </c>
      <c r="O627" s="3" t="inlineStr">
        <is>
          <t>즉시입주,도배새로함  ,대중교통이용,주변상권이용 편리합니다.</t>
        </is>
      </c>
      <c r="P627" s="6">
        <f>HYPERLINK("https://fin.land.naver.com/articles/2653242895",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전세</t>
        </is>
      </c>
      <c r="G628" s="4" t="n">
        <v>3000</v>
      </c>
      <c r="H628" s="4" t="n">
        <v>0</v>
      </c>
      <c r="I628" s="4" t="n">
        <v>138</v>
      </c>
      <c r="J628" s="4" t="n">
        <v>42</v>
      </c>
      <c r="K628" s="5" t="n">
        <v>71.40000000000001</v>
      </c>
      <c r="L628" s="4" t="n">
        <v>23</v>
      </c>
      <c r="M628" s="4" t="n">
        <v>7</v>
      </c>
      <c r="N628" s="5" t="n">
        <v>428.6</v>
      </c>
      <c r="O628" s="3" t="inlineStr">
        <is>
          <t>nan</t>
        </is>
      </c>
      <c r="P628" s="6">
        <f>HYPERLINK("https://fin.land.naver.com/articles/2652079727",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다가구</t>
        </is>
      </c>
      <c r="F629" s="3" t="inlineStr">
        <is>
          <t>월세</t>
        </is>
      </c>
      <c r="G629" s="4" t="n">
        <v>800</v>
      </c>
      <c r="H629" s="4" t="n">
        <v>22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3.1</v>
      </c>
      <c r="O629" s="3" t="inlineStr">
        <is>
          <t>즉시, 5일여유,햇빛우수 ,대중교통이용,주변상권이용 편리합니다.</t>
        </is>
      </c>
      <c r="P629" s="6">
        <f>HYPERLINK("https://fin.land.naver.com/articles/2655784213",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HYPERLINK("https://fin.land.naver.com/articles/2652253841",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2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전세</t>
        </is>
      </c>
      <c r="G632" s="4" t="n">
        <v>2500</v>
      </c>
      <c r="H632" s="4" t="n">
        <v>0</v>
      </c>
      <c r="I632" s="4" t="n">
        <v>138</v>
      </c>
      <c r="J632" s="4" t="n">
        <v>42</v>
      </c>
      <c r="K632" s="5" t="n">
        <v>59.5</v>
      </c>
      <c r="L632" s="4" t="n">
        <v>23</v>
      </c>
      <c r="M632" s="4" t="n">
        <v>7</v>
      </c>
      <c r="N632" s="5" t="n">
        <v>357.1</v>
      </c>
      <c r="O632" s="3" t="inlineStr">
        <is>
          <t>nan</t>
        </is>
      </c>
      <c r="P632" s="6">
        <f>HYPERLINK("https://fin.land.naver.com/articles/2652253083",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2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nan</t>
        </is>
      </c>
      <c r="P634" s="6">
        <f>HYPERLINK("https://fin.land.naver.com/articles/2655329663",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10.1일이후,1년도가능 ,대중교통이용,주변상권이용 편리합니다.</t>
        </is>
      </c>
      <c r="P635" s="6">
        <f>HYPERLINK("https://fin.land.naver.com/articles/2652133764",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단기임대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23.8</v>
      </c>
      <c r="L636" s="4" t="n">
        <v>23</v>
      </c>
      <c r="M636" s="4" t="n">
        <v>7</v>
      </c>
      <c r="N636" s="5" t="n">
        <v>142.9</v>
      </c>
      <c r="O636" s="3" t="inlineStr">
        <is>
          <t>즉시입주,1년도가능 ,대중교통이용,주변상권이용 편리합니다.</t>
        </is>
      </c>
      <c r="P636" s="6">
        <f>HYPERLINK("https://fin.land.naver.com/articles/2656543799",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45000</v>
      </c>
      <c r="H648" s="4" t="n">
        <v>0</v>
      </c>
      <c r="I648" s="4" t="n">
        <v>656</v>
      </c>
      <c r="J648" s="4" t="n">
        <v>198</v>
      </c>
      <c r="K648" s="5" t="n">
        <v>227.3</v>
      </c>
      <c r="L648" s="4" t="n">
        <v>79</v>
      </c>
      <c r="M648" s="4" t="n">
        <v>24</v>
      </c>
      <c r="N648" s="5" t="n">
        <v>1875</v>
      </c>
      <c r="O648" s="3" t="inlineStr">
        <is>
          <t>예양교차로인근에 위치  교통편리 버스정류장도 바로앞에 있습니다</t>
        </is>
      </c>
      <c r="P648" s="6">
        <f>HYPERLINK("https://fin.land.naver.com/articles/2653055468",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시드니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55000</v>
      </c>
      <c r="H649" s="4" t="n">
        <v>0</v>
      </c>
      <c r="I649" s="4" t="n">
        <v>1230</v>
      </c>
      <c r="J649" s="4" t="n">
        <v>372</v>
      </c>
      <c r="K649" s="5" t="n">
        <v>147.8</v>
      </c>
      <c r="L649" s="4" t="n">
        <v>79</v>
      </c>
      <c r="M649" s="4" t="n">
        <v>24</v>
      </c>
      <c r="N649" s="5" t="n">
        <v>2291.7</v>
      </c>
      <c r="O649" s="3" t="inlineStr">
        <is>
          <t>nan</t>
        </is>
      </c>
      <c r="P649" s="6">
        <f>HYPERLINK("https://fin.land.naver.com/articles/2651986983",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오송퍼스트영웅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단독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421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스마트산업단지 예정 인근 다가구 통매매,중심상권 위치로 투자수익 기대</t>
        </is>
      </c>
      <c r="P662" s="6">
        <f>HYPERLINK("https://fin.land.naver.com/articles/2651024368",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연기더조은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360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nan</t>
        </is>
      </c>
      <c r="P673" s="6">
        <f>HYPERLINK("https://fin.land.naver.com/articles/2652499431",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엄지척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359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세종시 인접  19실  수익형 다가구매매</t>
        </is>
      </c>
      <c r="P674" s="6">
        <f>HYPERLINK("https://fin.land.naver.com/articles/2653501119",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연서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50</v>
      </c>
      <c r="I677" s="4" t="n">
        <v>139</v>
      </c>
      <c r="J677" s="4" t="n">
        <v>42</v>
      </c>
      <c r="K677" s="5" t="n">
        <v>4.8</v>
      </c>
      <c r="L677" s="4" t="n">
        <v>39</v>
      </c>
      <c r="M677" s="4" t="n">
        <v>12</v>
      </c>
      <c r="N677" s="5" t="n">
        <v>16.7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HYPERLINK("https://fin.land.naver.com/articles/2654189890",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139</v>
      </c>
      <c r="J678" s="4" t="n">
        <v>42</v>
      </c>
      <c r="K678" s="5" t="n">
        <v>1.1</v>
      </c>
      <c r="L678" s="4" t="n">
        <v>39</v>
      </c>
      <c r="M678" s="4" t="n">
        <v>12</v>
      </c>
      <c r="N678" s="5" t="n">
        <v>3.8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HYPERLINK("https://fin.land.naver.com/articles/2654188593",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월세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0.7</v>
      </c>
      <c r="L680" s="4" t="n">
        <v>23</v>
      </c>
      <c r="M680" s="4" t="n">
        <v>7</v>
      </c>
      <c r="N680" s="5" t="n">
        <v>4.3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HYPERLINK("https://fin.land.naver.com/articles/2656626846",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단기임대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4.8</v>
      </c>
      <c r="L682" s="4" t="n">
        <v>23</v>
      </c>
      <c r="M682" s="4" t="n">
        <v>7</v>
      </c>
      <c r="N682" s="5" t="n">
        <v>28.6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HYPERLINK("https://fin.land.naver.com/articles/2656627284",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200</v>
      </c>
      <c r="H683" s="4" t="n">
        <v>30</v>
      </c>
      <c r="I683" s="4" t="n">
        <v>139</v>
      </c>
      <c r="J683" s="4" t="n">
        <v>42</v>
      </c>
      <c r="K683" s="5" t="n">
        <v>4.8</v>
      </c>
      <c r="L683" s="4" t="n">
        <v>26</v>
      </c>
      <c r="M683" s="4" t="n">
        <v>8</v>
      </c>
      <c r="N683" s="5" t="n">
        <v>25</v>
      </c>
      <c r="O683" s="3" t="inlineStr">
        <is>
          <t>10.25일이후,교통우수,6달도가능 도시가스 ,세종시와 조치원 중간지점</t>
        </is>
      </c>
      <c r="P683" s="6">
        <f>HYPERLINK("https://fin.land.naver.com/articles/2655868100",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다가구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12.25일이후,봉암리 주방분리형 큰방,대중교통우수,난방도시가스입니다</t>
        </is>
      </c>
      <c r="P686" s="6">
        <f>HYPERLINK("https://fin.land.naver.com/articles/2655869774",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3000</v>
      </c>
      <c r="H687" s="4" t="n">
        <v>15</v>
      </c>
      <c r="I687" s="4" t="n">
        <v>139</v>
      </c>
      <c r="J687" s="4" t="n">
        <v>42</v>
      </c>
      <c r="K687" s="5" t="n">
        <v>0.4</v>
      </c>
      <c r="L687" s="4" t="n">
        <v>26</v>
      </c>
      <c r="M687" s="4" t="n">
        <v>8</v>
      </c>
      <c r="N687" s="5" t="n">
        <v>1.9</v>
      </c>
      <c r="O687" s="3" t="inlineStr">
        <is>
          <t>11.20일 전후 ,대중교통우수, 도시가스 ,세종시와 조치원 중간지점</t>
        </is>
      </c>
      <c r="P687" s="6">
        <f>HYPERLINK("https://fin.land.naver.com/articles/2656169402",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11.20일 전후 ,대중교통우수, 도시가스 ,세종시와 조치원 중간지점</t>
        </is>
      </c>
      <c r="P688" s="6">
        <f>HYPERLINK("https://fin.land.naver.com/articles/2656169459",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11.20일전후,주방분리형 큰방,대중교통우수,난방도시가스입니다</t>
        </is>
      </c>
      <c r="P690" s="6">
        <f>HYPERLINK("https://fin.land.naver.com/articles/2656169724",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전세</t>
        </is>
      </c>
      <c r="G691" s="4" t="n">
        <v>4500</v>
      </c>
      <c r="H691" s="4" t="n">
        <v>0</v>
      </c>
      <c r="I691" s="4" t="n">
        <v>139</v>
      </c>
      <c r="J691" s="4" t="n">
        <v>42</v>
      </c>
      <c r="K691" s="5" t="n">
        <v>107.1</v>
      </c>
      <c r="L691" s="4" t="n">
        <v>26</v>
      </c>
      <c r="M691" s="4" t="n">
        <v>8</v>
      </c>
      <c r="N691" s="5" t="n">
        <v>562.5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HYPERLINK("https://fin.land.naver.com/articles/2656674710",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568</v>
      </c>
      <c r="M696" s="4" t="n">
        <v>172</v>
      </c>
      <c r="N696" s="5" t="n">
        <v>1104.7</v>
      </c>
      <c r="O696" s="3" t="inlineStr">
        <is>
          <t>신축다가구건물, 엘리베이터 1층 카페,23층 원룸,투룸,1.5룸으로구성</t>
        </is>
      </c>
      <c r="P696" s="6">
        <f>HYPERLINK("https://fin.land.naver.com/articles/2656411596",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500</v>
      </c>
      <c r="H697" s="4" t="n">
        <v>40</v>
      </c>
      <c r="I697" s="4" t="n">
        <v>33</v>
      </c>
      <c r="J697" s="4" t="n">
        <v>10</v>
      </c>
      <c r="K697" s="5" t="n">
        <v>4</v>
      </c>
      <c r="L697" s="4" t="n">
        <v>16</v>
      </c>
      <c r="M697" s="4" t="n">
        <v>5</v>
      </c>
      <c r="N697" s="5" t="n">
        <v>8</v>
      </c>
      <c r="O697" s="3" t="inlineStr">
        <is>
          <t>원룸,11월하순입주 가능,전세도 가능 6천만원 풀옵션</t>
        </is>
      </c>
      <c r="P697" s="6">
        <f>HYPERLINK("https://fin.land.naver.com/articles/2652745423",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4000</v>
      </c>
      <c r="H699" s="4" t="n">
        <v>40</v>
      </c>
      <c r="I699" s="4" t="n">
        <v>0</v>
      </c>
      <c r="J699" s="4" t="n">
        <v>0</v>
      </c>
      <c r="K699" s="5" t="n">
        <v>0</v>
      </c>
      <c r="L699" s="4" t="n">
        <v>43</v>
      </c>
      <c r="M699" s="4" t="n">
        <v>13</v>
      </c>
      <c r="N699" s="5" t="n">
        <v>3.1</v>
      </c>
      <c r="O699" s="3" t="inlineStr">
        <is>
          <t>인기좋은 신축 풀옵션 2룸 심플하고 깔끔한방  엘베설치  넓은주차장</t>
        </is>
      </c>
      <c r="P699" s="6">
        <f>HYPERLINK("https://fin.land.naver.com/articles/2655798001",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다가구</t>
        </is>
      </c>
      <c r="F701" s="3" t="inlineStr">
        <is>
          <t>매매</t>
        </is>
      </c>
      <c r="G701" s="4" t="n">
        <v>190000</v>
      </c>
      <c r="H701" s="4" t="n">
        <v>0</v>
      </c>
      <c r="I701" s="4" t="n">
        <v>570</v>
      </c>
      <c r="J701" s="4" t="n">
        <v>172</v>
      </c>
      <c r="K701" s="5" t="n">
        <v>1104.7</v>
      </c>
      <c r="L701" s="4" t="n">
        <v>594</v>
      </c>
      <c r="M701" s="4" t="n">
        <v>180</v>
      </c>
      <c r="N701" s="5" t="n">
        <v>1055.6</v>
      </c>
      <c r="O701" s="3" t="inlineStr">
        <is>
          <t>신축다가구  가격조정가능 엘리베이터 와촌국가산업단지 인근</t>
        </is>
      </c>
      <c r="P701" s="6">
        <f>HYPERLINK("https://fin.land.naver.com/articles/2656043376",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그래그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HYPERLINK("https://fin.land.naver.com/articles/2651289585",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5000</v>
      </c>
      <c r="H710" s="4" t="n">
        <v>120</v>
      </c>
      <c r="I710" s="4" t="n">
        <v>327</v>
      </c>
      <c r="J710" s="4" t="n">
        <v>99</v>
      </c>
      <c r="K710" s="5" t="n">
        <v>1.2</v>
      </c>
      <c r="L710" s="4" t="n">
        <v>168</v>
      </c>
      <c r="M710" s="4" t="n">
        <v>51</v>
      </c>
      <c r="N710" s="5" t="n">
        <v>2.4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HYPERLINK("https://fin.land.naver.com/articles/2652036207",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전세</t>
        </is>
      </c>
      <c r="G711" s="4" t="n">
        <v>30000</v>
      </c>
      <c r="H711" s="4" t="n">
        <v>0</v>
      </c>
      <c r="I711" s="4" t="n">
        <v>327</v>
      </c>
      <c r="J711" s="4" t="n">
        <v>99</v>
      </c>
      <c r="K711" s="5" t="n">
        <v>303</v>
      </c>
      <c r="L711" s="4" t="n">
        <v>168</v>
      </c>
      <c r="M711" s="4" t="n">
        <v>51</v>
      </c>
      <c r="N711" s="5" t="n">
        <v>588.2</v>
      </c>
      <c r="O711" s="3" t="inlineStr">
        <is>
          <t>깔끔한 전원주택</t>
        </is>
      </c>
      <c r="P711" s="6">
        <f>HYPERLINK("https://fin.land.naver.com/articles/2652284182",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5000</v>
      </c>
      <c r="H712" s="4" t="n">
        <v>120</v>
      </c>
      <c r="I712" s="4" t="n">
        <v>327</v>
      </c>
      <c r="J712" s="4" t="n">
        <v>99</v>
      </c>
      <c r="K712" s="5" t="n">
        <v>1.2</v>
      </c>
      <c r="L712" s="4" t="n">
        <v>168</v>
      </c>
      <c r="M712" s="4" t="n">
        <v>51</v>
      </c>
      <c r="N712" s="5" t="n">
        <v>2.4</v>
      </c>
      <c r="O712" s="3" t="inlineStr">
        <is>
          <t>깔끔한 전원주택</t>
        </is>
      </c>
      <c r="P712" s="6">
        <f>HYPERLINK("https://fin.land.naver.com/articles/2652285276",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HYPERLINK("https://fin.land.naver.com/articles/2651423312",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전세</t>
        </is>
      </c>
      <c r="G729" s="4" t="n">
        <v>11000</v>
      </c>
      <c r="H729" s="4" t="n">
        <v>0</v>
      </c>
      <c r="I729" s="4" t="n">
        <v>127</v>
      </c>
      <c r="J729" s="4" t="n">
        <v>38</v>
      </c>
      <c r="K729" s="5" t="n">
        <v>289.5</v>
      </c>
      <c r="L729" s="4" t="n">
        <v>127</v>
      </c>
      <c r="M729" s="4" t="n">
        <v>38</v>
      </c>
      <c r="N729" s="5" t="n">
        <v>289.5</v>
      </c>
      <c r="O729" s="3" t="inlineStr">
        <is>
          <t>도원초등학교 인근, 남향, 방4, 욕실2, 넓은 주택 전세입니다.</t>
        </is>
      </c>
      <c r="P729" s="6">
        <f>HYPERLINK("https://fin.land.naver.com/articles/2655676609",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하늘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애견가능, 마당, 투베이,에어컨,세탁기,냉장고,전자레인지</t>
        </is>
      </c>
      <c r="P744" s="6">
        <f>HYPERLINK("https://fin.land.naver.com/articles/2652322955",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큰길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100</v>
      </c>
      <c r="M761" s="4" t="n">
        <v>30</v>
      </c>
      <c r="N761" s="5" t="n">
        <v>3.7</v>
      </c>
      <c r="O761" s="3" t="inlineStr">
        <is>
          <t>출퇴근편리, 관리 잘 된 넓은주인세대</t>
        </is>
      </c>
      <c r="P761" s="6">
        <f>HYPERLINK("https://fin.land.naver.com/articles/2656100776",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프로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111</v>
      </c>
      <c r="I762" s="4" t="n">
        <v>119</v>
      </c>
      <c r="J762" s="4" t="n">
        <v>36</v>
      </c>
      <c r="K762" s="5" t="n">
        <v>3.1</v>
      </c>
      <c r="L762" s="4" t="n">
        <v>119</v>
      </c>
      <c r="M762" s="4" t="n">
        <v>36</v>
      </c>
      <c r="N762" s="5" t="n">
        <v>3.1</v>
      </c>
      <c r="O762" s="3" t="inlineStr">
        <is>
          <t>nan</t>
        </is>
      </c>
      <c r="P762" s="6">
        <f>HYPERLINK("https://fin.land.naver.com/articles/2653957226",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이룸</t>
        </is>
      </c>
      <c r="T762" s="4" t="n">
        <v>2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110</v>
      </c>
      <c r="I763" s="4" t="n">
        <v>0</v>
      </c>
      <c r="J763" s="4" t="n">
        <v>0</v>
      </c>
      <c r="K763" s="5" t="n">
        <v>0</v>
      </c>
      <c r="L763" s="4" t="n">
        <v>122</v>
      </c>
      <c r="M763" s="4" t="n">
        <v>37</v>
      </c>
      <c r="N763" s="5" t="n">
        <v>3</v>
      </c>
      <c r="O763" s="3" t="inlineStr">
        <is>
          <t>오송1산단 깔끔한 주인세대</t>
        </is>
      </c>
      <c r="P763" s="6">
        <f>HYPERLINK("https://fin.land.naver.com/articles/2653764639",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110</v>
      </c>
      <c r="M764" s="4" t="n">
        <v>33</v>
      </c>
      <c r="N764" s="5" t="n">
        <v>3.3</v>
      </c>
      <c r="O764" s="3" t="inlineStr">
        <is>
          <t>오송역 8번출구 도보로 7분거리,주인세대 월세</t>
        </is>
      </c>
      <c r="P764" s="6">
        <f>HYPERLINK("https://fin.land.naver.com/articles/2654413714",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우리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</v>
      </c>
      <c r="H773" s="4" t="n">
        <v>45</v>
      </c>
      <c r="I773" s="4" t="n">
        <v>115</v>
      </c>
      <c r="J773" s="4" t="n">
        <v>35</v>
      </c>
      <c r="K773" s="5" t="n">
        <v>1.3</v>
      </c>
      <c r="L773" s="4" t="n">
        <v>24</v>
      </c>
      <c r="M773" s="4" t="n">
        <v>7</v>
      </c>
      <c r="N773" s="5" t="n">
        <v>6.4</v>
      </c>
      <c r="O773" s="3" t="inlineStr">
        <is>
          <t>nan</t>
        </is>
      </c>
      <c r="P773" s="6">
        <f>HYPERLINK("https://fin.land.naver.com/articles/2654602267",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83000</v>
      </c>
      <c r="H775" s="4" t="n">
        <v>0</v>
      </c>
      <c r="I775" s="4" t="n">
        <v>253</v>
      </c>
      <c r="J775" s="4" t="n">
        <v>77</v>
      </c>
      <c r="K775" s="5" t="n">
        <v>1077.9</v>
      </c>
      <c r="L775" s="4" t="n">
        <v>368</v>
      </c>
      <c r="M775" s="4" t="n">
        <v>111</v>
      </c>
      <c r="N775" s="5" t="n">
        <v>747.7</v>
      </c>
      <c r="O775" s="3" t="inlineStr">
        <is>
          <t>오송역 도보 5분만실 다가구주택, 실투자금 4.6억 수익률 6.6</t>
        </is>
      </c>
      <c r="P775" s="6">
        <f>HYPERLINK("https://fin.land.naver.com/articles/2652592437",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67000</v>
      </c>
      <c r="H776" s="4" t="n">
        <v>0</v>
      </c>
      <c r="I776" s="4" t="n">
        <v>249</v>
      </c>
      <c r="J776" s="4" t="n">
        <v>75</v>
      </c>
      <c r="K776" s="5" t="n">
        <v>893.3</v>
      </c>
      <c r="L776" s="4" t="n">
        <v>352</v>
      </c>
      <c r="M776" s="4" t="n">
        <v>106</v>
      </c>
      <c r="N776" s="5" t="n">
        <v>632.1</v>
      </c>
      <c r="O776" s="3" t="inlineStr">
        <is>
          <t>투자하기 좋은 통매매, 오송역, 초.중학교 인접</t>
        </is>
      </c>
      <c r="P776" s="6">
        <f>HYPERLINK("https://fin.land.naver.com/articles/2656242965",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매매</t>
        </is>
      </c>
      <c r="G781" s="4" t="n">
        <v>71000</v>
      </c>
      <c r="H781" s="4" t="n">
        <v>0</v>
      </c>
      <c r="I781" s="4" t="n">
        <v>263</v>
      </c>
      <c r="J781" s="4" t="n">
        <v>80</v>
      </c>
      <c r="K781" s="5" t="n">
        <v>887.5</v>
      </c>
      <c r="L781" s="4" t="n">
        <v>369</v>
      </c>
      <c r="M781" s="4" t="n">
        <v>112</v>
      </c>
      <c r="N781" s="5" t="n">
        <v>633.9</v>
      </c>
      <c r="O781" s="3" t="inlineStr">
        <is>
          <t>공실없이 임대완료 및 관리가 잘되어 있는 건물,오송역 초근접 위치</t>
        </is>
      </c>
      <c r="P781" s="6">
        <f>HYPERLINK("https://fin.land.naver.com/articles/2656440374",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오송2단지창조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72000</v>
      </c>
      <c r="H782" s="4" t="n">
        <v>0</v>
      </c>
      <c r="I782" s="4" t="n">
        <v>263</v>
      </c>
      <c r="J782" s="4" t="n">
        <v>80</v>
      </c>
      <c r="K782" s="5" t="n">
        <v>900</v>
      </c>
      <c r="L782" s="4" t="n">
        <v>369</v>
      </c>
      <c r="M782" s="4" t="n">
        <v>112</v>
      </c>
      <c r="N782" s="5" t="n">
        <v>642.9</v>
      </c>
      <c r="O782" s="3" t="inlineStr">
        <is>
          <t>오송1산단 수익률 좋은 다가구</t>
        </is>
      </c>
      <c r="P782" s="6">
        <f>HYPERLINK("https://fin.land.naver.com/articles/2655163999",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1</t>
        </is>
      </c>
      <c r="E783" s="3" t="inlineStr">
        <is>
          <t>다가구</t>
        </is>
      </c>
      <c r="F783" s="3" t="inlineStr">
        <is>
          <t>전세</t>
        </is>
      </c>
      <c r="G783" s="4" t="n">
        <v>6300</v>
      </c>
      <c r="H783" s="4" t="n">
        <v>0</v>
      </c>
      <c r="I783" s="4" t="n">
        <v>0</v>
      </c>
      <c r="J783" s="4" t="n">
        <v>0</v>
      </c>
      <c r="K783" s="5" t="n">
        <v>0</v>
      </c>
      <c r="L783" s="4" t="n">
        <v>50</v>
      </c>
      <c r="M783" s="4" t="n">
        <v>15</v>
      </c>
      <c r="N783" s="5" t="n">
        <v>420</v>
      </c>
      <c r="O783" s="3" t="inlineStr">
        <is>
          <t>오송1산단 귀한 투룸전세</t>
        </is>
      </c>
      <c r="P783" s="6">
        <f>HYPERLINK("https://fin.land.naver.com/articles/2652997900",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단독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거실창 밖 공원뷰, 임대하기 좋은 구성 건물</t>
        </is>
      </c>
      <c r="P786" s="6">
        <f>HYPERLINK("https://fin.land.naver.com/articles/2652143068",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오송2단지창조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다가구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nan</t>
        </is>
      </c>
      <c r="P787" s="6">
        <f>HYPERLINK("https://fin.land.naver.com/articles/2651292627",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오송퍼스트영웅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61</v>
      </c>
      <c r="I789" s="4" t="n">
        <v>39</v>
      </c>
      <c r="J789" s="4" t="n">
        <v>12</v>
      </c>
      <c r="K789" s="5" t="n">
        <v>5.1</v>
      </c>
      <c r="L789" s="4" t="n">
        <v>39</v>
      </c>
      <c r="M789" s="4" t="n">
        <v>12</v>
      </c>
      <c r="N789" s="5" t="n">
        <v>5.1</v>
      </c>
      <c r="O789" s="3" t="inlineStr">
        <is>
          <t>깨끗한 복층 투룸.즉시입주가능.짐 많은 1인이 살기 좋은 복층 투룸.</t>
        </is>
      </c>
      <c r="P789" s="6">
        <f>HYPERLINK("https://fin.land.naver.com/articles/2655592357",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70</v>
      </c>
      <c r="I790" s="4" t="n">
        <v>239</v>
      </c>
      <c r="J790" s="4" t="n">
        <v>72</v>
      </c>
      <c r="K790" s="5" t="n">
        <v>1</v>
      </c>
      <c r="L790" s="4" t="n">
        <v>349</v>
      </c>
      <c r="M790" s="4" t="n">
        <v>106</v>
      </c>
      <c r="N790" s="5" t="n">
        <v>0.7</v>
      </c>
      <c r="O790" s="3" t="inlineStr">
        <is>
          <t>nan</t>
        </is>
      </c>
      <c r="P790" s="6">
        <f>HYPERLINK("https://fin.land.naver.com/articles/2653864477",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오송시티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0</v>
      </c>
      <c r="J792" s="4" t="n">
        <v>0</v>
      </c>
      <c r="K792" s="5" t="n">
        <v>0</v>
      </c>
      <c r="L792" s="4" t="n">
        <v>78</v>
      </c>
      <c r="M792" s="4" t="n">
        <v>24</v>
      </c>
      <c r="N792" s="5" t="n">
        <v>4.2</v>
      </c>
      <c r="O792" s="3" t="inlineStr">
        <is>
          <t>오송역 인근 주인세대.</t>
        </is>
      </c>
      <c r="P792" s="6">
        <f>HYPERLINK("https://fin.land.naver.com/articles/2655949046",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대한민국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118</v>
      </c>
      <c r="J794" s="4" t="n">
        <v>36</v>
      </c>
      <c r="K794" s="5" t="n">
        <v>2.8</v>
      </c>
      <c r="L794" s="4" t="n">
        <v>115</v>
      </c>
      <c r="M794" s="4" t="n">
        <v>35</v>
      </c>
      <c r="N794" s="5" t="n">
        <v>2.9</v>
      </c>
      <c r="O794" s="3" t="inlineStr">
        <is>
          <t>주인세대,11월22일이후입주가능</t>
        </is>
      </c>
      <c r="P794" s="6">
        <f>HYPERLINK("https://fin.land.naver.com/articles/2655946968",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오송올래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단독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먹자골목 상권 ,상가 메인 상권,공실없는 건물</t>
        </is>
      </c>
      <c r="P795" s="6">
        <f>HYPERLINK("https://fin.land.naver.com/articles/2655111584",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오송2단지창조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상가주택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오송역 도보 가능, 공원 옆 개방감 좋은 주택, 하자 없는 상가 주택.</t>
        </is>
      </c>
      <c r="P797" s="6">
        <f>HYPERLINK("https://fin.land.naver.com/articles/2653351559",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오송모아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옆 저렴한 수익형 다가구 건물 급매 공실걱정 제로</t>
        </is>
      </c>
      <c r="P805" s="6">
        <f>HYPERLINK("https://fin.land.naver.com/articles/2654226049",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아임</t>
        </is>
      </c>
      <c r="T805" s="4" t="n">
        <v>3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오송역 인근무융자 다가구주택 매매</t>
        </is>
      </c>
      <c r="P806" s="6">
        <f>HYPERLINK("https://fin.land.naver.com/articles/2651830159",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오송시티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적은 투자금으로 수익형 내집 마련의 기회를 잡으세요</t>
        </is>
      </c>
      <c r="P807" s="6">
        <f>HYPERLINK("https://fin.land.naver.com/articles/2654000666",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전세</t>
        </is>
      </c>
      <c r="G811" s="4" t="n">
        <v>13000</v>
      </c>
      <c r="H811" s="4" t="n">
        <v>0</v>
      </c>
      <c r="I811" s="4" t="n">
        <v>275</v>
      </c>
      <c r="J811" s="4" t="n">
        <v>83</v>
      </c>
      <c r="K811" s="5" t="n">
        <v>156.6</v>
      </c>
      <c r="L811" s="4" t="n">
        <v>412</v>
      </c>
      <c r="M811" s="4" t="n">
        <v>125</v>
      </c>
      <c r="N811" s="5" t="n">
        <v>104</v>
      </c>
      <c r="O811" s="3" t="inlineStr">
        <is>
          <t>nan</t>
        </is>
      </c>
      <c r="P811" s="6">
        <f>HYPERLINK("https://fin.land.naver.com/articles/2655363732",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오송시티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다가구</t>
        </is>
      </c>
      <c r="F812" s="3" t="inlineStr">
        <is>
          <t>전세</t>
        </is>
      </c>
      <c r="G812" s="4" t="n">
        <v>11000</v>
      </c>
      <c r="H812" s="4" t="n">
        <v>0</v>
      </c>
      <c r="I812" s="4" t="n">
        <v>40</v>
      </c>
      <c r="J812" s="4" t="n">
        <v>12</v>
      </c>
      <c r="K812" s="5" t="n">
        <v>916.7</v>
      </c>
      <c r="L812" s="4" t="n">
        <v>40</v>
      </c>
      <c r="M812" s="4" t="n">
        <v>12</v>
      </c>
      <c r="N812" s="5" t="n">
        <v>916.7</v>
      </c>
      <c r="O812" s="3" t="inlineStr">
        <is>
          <t>버팀목 가능한 투룸.즉시입주.</t>
        </is>
      </c>
      <c r="P812" s="6">
        <f>HYPERLINK("https://fin.land.naver.com/articles/2654202704",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매매</t>
        </is>
      </c>
      <c r="G813" s="4" t="n">
        <v>70000</v>
      </c>
      <c r="H813" s="4" t="n">
        <v>0</v>
      </c>
      <c r="I813" s="4" t="n">
        <v>259</v>
      </c>
      <c r="J813" s="4" t="n">
        <v>78</v>
      </c>
      <c r="K813" s="5" t="n">
        <v>897.4</v>
      </c>
      <c r="L813" s="4" t="n">
        <v>365</v>
      </c>
      <c r="M813" s="4" t="n">
        <v>110</v>
      </c>
      <c r="N813" s="5" t="n">
        <v>636.4</v>
      </c>
      <c r="O813" s="3" t="inlineStr">
        <is>
          <t>수익률 좋은 깔끔한 집, 오송역 아주 가까워 위치 좋아요</t>
        </is>
      </c>
      <c r="P813" s="6">
        <f>HYPERLINK("https://fin.land.naver.com/articles/2653992953",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월세</t>
        </is>
      </c>
      <c r="G814" s="4" t="n">
        <v>3000</v>
      </c>
      <c r="H814" s="4" t="n">
        <v>51</v>
      </c>
      <c r="I814" s="4" t="n">
        <v>80</v>
      </c>
      <c r="J814" s="4" t="n">
        <v>24</v>
      </c>
      <c r="K814" s="5" t="n">
        <v>2.1</v>
      </c>
      <c r="L814" s="4" t="n">
        <v>80</v>
      </c>
      <c r="M814" s="4" t="n">
        <v>24</v>
      </c>
      <c r="N814" s="5" t="n">
        <v>2.1</v>
      </c>
      <c r="O814" s="3" t="inlineStr">
        <is>
          <t>주인세대 추룸, 화장실 2개</t>
        </is>
      </c>
      <c r="P814" s="6">
        <f>HYPERLINK("https://fin.land.naver.com/articles/2651355737",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오송조은무소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30</v>
      </c>
      <c r="H823" s="4" t="n">
        <v>41</v>
      </c>
      <c r="I823" s="4" t="n">
        <v>16</v>
      </c>
      <c r="J823" s="4" t="n">
        <v>5</v>
      </c>
      <c r="K823" s="5" t="n">
        <v>6</v>
      </c>
      <c r="L823" s="4" t="n">
        <v>16</v>
      </c>
      <c r="M823" s="4" t="n">
        <v>5</v>
      </c>
      <c r="N823" s="5" t="n">
        <v>6</v>
      </c>
      <c r="O823" s="3" t="inlineStr">
        <is>
          <t>저렴한 단기임대.오송역 맞은편.도보3분.즉시입주가능.</t>
        </is>
      </c>
      <c r="P823" s="6">
        <f>HYPERLINK("https://fin.land.naver.com/articles/2655059084",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</v>
      </c>
      <c r="H825" s="4" t="n">
        <v>50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10</v>
      </c>
      <c r="O825" s="3" t="inlineStr">
        <is>
          <t>1개월부터 가능한 단기 원룸</t>
        </is>
      </c>
      <c r="P825" s="6">
        <f>HYPERLINK("https://fin.land.naver.com/articles/2656211535",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100</v>
      </c>
      <c r="H826" s="4" t="n">
        <v>36</v>
      </c>
      <c r="I826" s="4" t="n">
        <v>0</v>
      </c>
      <c r="J826" s="4" t="n">
        <v>0</v>
      </c>
      <c r="K826" s="5" t="n">
        <v>0</v>
      </c>
      <c r="L826" s="4" t="n">
        <v>17</v>
      </c>
      <c r="M826" s="4" t="n">
        <v>5</v>
      </c>
      <c r="N826" s="5" t="n">
        <v>20</v>
      </c>
      <c r="O826" s="3" t="inlineStr">
        <is>
          <t>6개월 단기 임대,1개월부터 가능</t>
        </is>
      </c>
      <c r="P826" s="6">
        <f>HYPERLINK("https://fin.land.naver.com/articles/2656210209",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오스코 및 오송역 인근 메인 도로변 신축 상가주택 매매</t>
        </is>
      </c>
      <c r="P827" s="6">
        <f>HYPERLINK("https://fin.land.naver.com/articles/2653824582",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광장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다가구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오송역뷰 막힘없는 3면 도로 잘생긴 건물입니다</t>
        </is>
      </c>
      <c r="P828" s="6">
        <f>HYPERLINK("https://fin.land.naver.com/articles/2656629653",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스케치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다가구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0</v>
      </c>
      <c r="J832" s="4" t="n">
        <v>0</v>
      </c>
      <c r="K832" s="5" t="n">
        <v>0</v>
      </c>
      <c r="L832" s="4" t="n">
        <v>101</v>
      </c>
      <c r="M832" s="4" t="n">
        <v>31</v>
      </c>
      <c r="N832" s="5" t="n">
        <v>645.2</v>
      </c>
      <c r="O832" s="3" t="inlineStr">
        <is>
          <t>시스템에어컨,중문,개인테라스까지 주인세대 귀한 전세,신혼부부 추천</t>
        </is>
      </c>
      <c r="P832" s="6">
        <f>HYPERLINK("https://fin.land.naver.com/articles/2656100091",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오송바이오창조</t>
        </is>
      </c>
      <c r="T832" s="4" t="n">
        <v>2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102</v>
      </c>
      <c r="J833" s="4" t="n">
        <v>31</v>
      </c>
      <c r="K833" s="5" t="n">
        <v>645.2</v>
      </c>
      <c r="L833" s="4" t="n">
        <v>102</v>
      </c>
      <c r="M833" s="4" t="n">
        <v>31</v>
      </c>
      <c r="N833" s="5" t="n">
        <v>645.2</v>
      </c>
      <c r="O833" s="3" t="inlineStr">
        <is>
          <t>26년 12월말 입주 가능한 예쁜 우드톤 주인세대 복층 전세</t>
        </is>
      </c>
      <c r="P833" s="6">
        <f>HYPERLINK("https://fin.land.naver.com/articles/2655155268",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오송미소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62</v>
      </c>
      <c r="I837" s="4" t="n">
        <v>0</v>
      </c>
      <c r="J837" s="4" t="n">
        <v>0</v>
      </c>
      <c r="K837" s="5" t="n">
        <v>0</v>
      </c>
      <c r="L837" s="4" t="n">
        <v>32</v>
      </c>
      <c r="M837" s="4" t="n">
        <v>10</v>
      </c>
      <c r="N837" s="5" t="n">
        <v>6.2</v>
      </c>
      <c r="O837" s="3" t="inlineStr">
        <is>
          <t>즉시입주 필로티주차 깔끔하게 관리 잘되는 건물,신축 투베이 월세</t>
        </is>
      </c>
      <c r="P837" s="6">
        <f>HYPERLINK("https://fin.land.naver.com/articles/2654922965",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오송바이오창조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60</v>
      </c>
      <c r="I838" s="4" t="n">
        <v>0</v>
      </c>
      <c r="J838" s="4" t="n">
        <v>0</v>
      </c>
      <c r="K838" s="5" t="n">
        <v>0</v>
      </c>
      <c r="L838" s="4" t="n">
        <v>33</v>
      </c>
      <c r="M838" s="4" t="n">
        <v>10</v>
      </c>
      <c r="N838" s="5" t="n">
        <v>6</v>
      </c>
      <c r="O838" s="3" t="inlineStr">
        <is>
          <t>즉시입주.저렴한보증금.6자붙박이장2개.넓은다용도실.화이트인테리어</t>
        </is>
      </c>
      <c r="P838" s="6">
        <f>HYPERLINK("https://fin.land.naver.com/articles/2653592647",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먹자골목 상가임대완료 임대호실 임대완료</t>
        </is>
      </c>
      <c r="P843" s="6">
        <f>HYPERLINK("https://fin.land.naver.com/articles/2655925551",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프렌즈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주인세대 즉시 입주 가능, 보중금 6500만원 월세 600만원</t>
        </is>
      </c>
      <c r="P845" s="6">
        <f>HYPERLINK("https://fin.land.naver.com/articles/2656608831",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우리</t>
        </is>
      </c>
      <c r="T845" s="4" t="n">
        <v>1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56</v>
      </c>
      <c r="J849" s="4" t="n">
        <v>17</v>
      </c>
      <c r="K849" s="5" t="n">
        <v>3.6</v>
      </c>
      <c r="L849" s="4" t="n">
        <v>32</v>
      </c>
      <c r="M849" s="4" t="n">
        <v>10</v>
      </c>
      <c r="N849" s="5" t="n">
        <v>6.1</v>
      </c>
      <c r="O849" s="3" t="inlineStr">
        <is>
          <t>즉시 입주 가능, 첫입주투베이 ,편의시설이용편리</t>
        </is>
      </c>
      <c r="P849" s="6">
        <f>HYPERLINK("https://fin.land.naver.com/articles/2653034346",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32</v>
      </c>
      <c r="J850" s="4" t="n">
        <v>10</v>
      </c>
      <c r="K850" s="5" t="n">
        <v>6.1</v>
      </c>
      <c r="L850" s="4" t="n">
        <v>32</v>
      </c>
      <c r="M850" s="4" t="n">
        <v>10</v>
      </c>
      <c r="N850" s="5" t="n">
        <v>6.1</v>
      </c>
      <c r="O850" s="3" t="inlineStr">
        <is>
          <t>구조좋은 투베이,첫입주,신축,메인상권에위치</t>
        </is>
      </c>
      <c r="P850" s="6">
        <f>HYPERLINK("https://fin.land.naver.com/articles/2651021369",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오송올래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0</v>
      </c>
      <c r="J851" s="4" t="n">
        <v>0</v>
      </c>
      <c r="K851" s="5" t="n">
        <v>0</v>
      </c>
      <c r="L851" s="4" t="n">
        <v>33</v>
      </c>
      <c r="M851" s="4" t="n">
        <v>10</v>
      </c>
      <c r="N851" s="5" t="n">
        <v>6.1</v>
      </c>
      <c r="O851" s="3" t="inlineStr">
        <is>
          <t>ㄸr봉 신축 첫 입주  화이트톤의 깔끔한 풀옵션 투베이</t>
        </is>
      </c>
      <c r="P851" s="6">
        <f>HYPERLINK("https://fin.land.naver.com/articles/2651137572",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오송프렌즈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월세</t>
        </is>
      </c>
      <c r="G852" s="4" t="n">
        <v>2000</v>
      </c>
      <c r="H852" s="4" t="n">
        <v>100</v>
      </c>
      <c r="I852" s="4" t="n">
        <v>104</v>
      </c>
      <c r="J852" s="4" t="n">
        <v>31</v>
      </c>
      <c r="K852" s="5" t="n">
        <v>3.2</v>
      </c>
      <c r="L852" s="4" t="n">
        <v>94</v>
      </c>
      <c r="M852" s="4" t="n">
        <v>28</v>
      </c>
      <c r="N852" s="5" t="n">
        <v>3.6</v>
      </c>
      <c r="O852" s="3" t="inlineStr">
        <is>
          <t>옥탑방 있는 주인세대,시스템에어컨,붙박이장설치</t>
        </is>
      </c>
      <c r="P852" s="6">
        <f>HYPERLINK("https://fin.land.naver.com/articles/2653667598",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오송유나</t>
        </is>
      </c>
      <c r="T852" s="4" t="n">
        <v>1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월세</t>
        </is>
      </c>
      <c r="G853" s="4" t="n">
        <v>2000</v>
      </c>
      <c r="H853" s="4" t="n">
        <v>90</v>
      </c>
      <c r="I853" s="4" t="n">
        <v>0</v>
      </c>
      <c r="J853" s="4" t="n">
        <v>0</v>
      </c>
      <c r="K853" s="5" t="n">
        <v>0</v>
      </c>
      <c r="L853" s="4" t="n">
        <v>94</v>
      </c>
      <c r="M853" s="4" t="n">
        <v>28</v>
      </c>
      <c r="N853" s="5" t="n">
        <v>3.2</v>
      </c>
      <c r="O853" s="3" t="inlineStr">
        <is>
          <t>시스템 에어컨,드레스룸 ,깔끔한 주인세대 복층 ,즉시입주 가능 테라스까지</t>
        </is>
      </c>
      <c r="P853" s="6">
        <f>HYPERLINK("https://fin.land.naver.com/articles/2653997772",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오송바이오창조</t>
        </is>
      </c>
      <c r="T853" s="4" t="n">
        <v>4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8000</v>
      </c>
      <c r="H855" s="4" t="n">
        <v>11</v>
      </c>
      <c r="I855" s="4" t="n">
        <v>52</v>
      </c>
      <c r="J855" s="4" t="n">
        <v>16</v>
      </c>
      <c r="K855" s="5" t="n">
        <v>0.7</v>
      </c>
      <c r="L855" s="4" t="n">
        <v>28</v>
      </c>
      <c r="M855" s="4" t="n">
        <v>8</v>
      </c>
      <c r="N855" s="5" t="n">
        <v>1.4</v>
      </c>
      <c r="O855" s="3" t="inlineStr">
        <is>
          <t>월세부담줄여주는 반전세,예쁜 투베이</t>
        </is>
      </c>
      <c r="P855" s="6">
        <f>HYPERLINK("https://fin.land.naver.com/articles/2655296543",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5000</v>
      </c>
      <c r="H856" s="4" t="n">
        <v>25</v>
      </c>
      <c r="I856" s="4" t="n">
        <v>28</v>
      </c>
      <c r="J856" s="4" t="n">
        <v>8</v>
      </c>
      <c r="K856" s="5" t="n">
        <v>3.1</v>
      </c>
      <c r="L856" s="4" t="n">
        <v>27</v>
      </c>
      <c r="M856" s="4" t="n">
        <v>8</v>
      </c>
      <c r="N856" s="5" t="n">
        <v>3.1</v>
      </c>
      <c r="O856" s="3" t="inlineStr">
        <is>
          <t>전세, 반전세 보증금 및 월세 조율 가능한 귀한 매물. 투베이</t>
        </is>
      </c>
      <c r="P856" s="6">
        <f>HYPERLINK("https://fin.land.naver.com/articles/2654435556",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당근플러스</t>
        </is>
      </c>
      <c r="T856" s="4" t="n">
        <v>2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전세</t>
        </is>
      </c>
      <c r="G857" s="4" t="n">
        <v>10000</v>
      </c>
      <c r="H857" s="4" t="n">
        <v>0</v>
      </c>
      <c r="I857" s="4" t="n">
        <v>0</v>
      </c>
      <c r="J857" s="4" t="n">
        <v>0</v>
      </c>
      <c r="K857" s="5" t="n">
        <v>0</v>
      </c>
      <c r="L857" s="4" t="n">
        <v>28</v>
      </c>
      <c r="M857" s="4" t="n">
        <v>8</v>
      </c>
      <c r="N857" s="5" t="n">
        <v>1250</v>
      </c>
      <c r="O857" s="3" t="inlineStr">
        <is>
          <t>오송 귀한 투베이전세</t>
        </is>
      </c>
      <c r="P857" s="6">
        <f>HYPERLINK("https://fin.land.naver.com/articles/2652236245",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오송이가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다가구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중심상권 근접.깔끔하고 예쁜 투룸.</t>
        </is>
      </c>
      <c r="P864" s="6">
        <f>HYPERLINK("https://fin.land.naver.com/articles/2654570258",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이룸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일반원룸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귀한 투룸 전세 , 11월 입주 가능</t>
        </is>
      </c>
      <c r="P865" s="6">
        <f>HYPERLINK("https://fin.land.naver.com/articles/2656098132",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오송바이오창조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급매물, 먹자상권 수익률좋은 다가구주택,주인세대거주가능</t>
        </is>
      </c>
      <c r="P869" s="6">
        <f>HYPERLINK("https://fin.land.naver.com/articles/2653786060",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오송올래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오송 최저가 입지 좋은 먹자골목 상가주택</t>
        </is>
      </c>
      <c r="P870" s="6">
        <f>HYPERLINK("https://fin.land.naver.com/articles/2655925387",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프렌즈</t>
        </is>
      </c>
      <c r="T870" s="4" t="n">
        <v>2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역세권 인프라. 슬세권 상가주택. 임대세대 리모델링</t>
        </is>
      </c>
      <c r="P871" s="6">
        <f>HYPERLINK("https://fin.land.naver.com/articles/2651757739",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138000</v>
      </c>
      <c r="H873" s="4" t="n">
        <v>0</v>
      </c>
      <c r="I873" s="4" t="n">
        <v>240</v>
      </c>
      <c r="J873" s="4" t="n">
        <v>73</v>
      </c>
      <c r="K873" s="5" t="n">
        <v>1890.4</v>
      </c>
      <c r="L873" s="4" t="n">
        <v>474</v>
      </c>
      <c r="M873" s="4" t="n">
        <v>143</v>
      </c>
      <c r="N873" s="5" t="n">
        <v>965</v>
      </c>
      <c r="O873" s="3" t="inlineStr">
        <is>
          <t>급매 신축 원룸건물, 수익률 잘나와요, 중심상가 인근, 상가 직접사용가능</t>
        </is>
      </c>
      <c r="P873" s="6">
        <f>HYPERLINK("https://fin.land.naver.com/articles/2655349838",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240</v>
      </c>
      <c r="J874" s="4" t="n">
        <v>73</v>
      </c>
      <c r="K874" s="5" t="n">
        <v>1986.3</v>
      </c>
      <c r="L874" s="4" t="n">
        <v>474</v>
      </c>
      <c r="M874" s="4" t="n">
        <v>143</v>
      </c>
      <c r="N874" s="5" t="n">
        <v>1014</v>
      </c>
      <c r="O874" s="3" t="inlineStr">
        <is>
          <t>학생 및 직장인 수요 많은 위치</t>
        </is>
      </c>
      <c r="P874" s="6">
        <f>HYPERLINK("https://fin.land.naver.com/articles/2652536245",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노른자</t>
        </is>
      </c>
      <c r="T874" s="4" t="n">
        <v>1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240</v>
      </c>
      <c r="J875" s="4" t="n">
        <v>73</v>
      </c>
      <c r="K875" s="5" t="n">
        <v>1986.3</v>
      </c>
      <c r="L875" s="4" t="n">
        <v>474</v>
      </c>
      <c r="M875" s="4" t="n">
        <v>143</v>
      </c>
      <c r="N875" s="5" t="n">
        <v>1014</v>
      </c>
      <c r="O875" s="3" t="inlineStr">
        <is>
          <t>올해 준공된 신축 먹자골목 내 수익률 좋은 상가 주택</t>
        </is>
      </c>
      <c r="P875" s="6">
        <f>HYPERLINK("https://fin.land.naver.com/articles/2656165652",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아시아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138000</v>
      </c>
      <c r="H876" s="4" t="n">
        <v>0</v>
      </c>
      <c r="I876" s="4" t="n">
        <v>240</v>
      </c>
      <c r="J876" s="4" t="n">
        <v>73</v>
      </c>
      <c r="K876" s="5" t="n">
        <v>1890.4</v>
      </c>
      <c r="L876" s="4" t="n">
        <v>474</v>
      </c>
      <c r="M876" s="4" t="n">
        <v>143</v>
      </c>
      <c r="N876" s="5" t="n">
        <v>965</v>
      </c>
      <c r="O876" s="3" t="inlineStr">
        <is>
          <t>신축 승강시O 주인세대 거주하며 월세수익 400만원 가능</t>
        </is>
      </c>
      <c r="P876" s="6">
        <f>HYPERLINK("https://fin.land.naver.com/articles/2651798309",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미래n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1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일괄매매 오송역세권으로 인프라좋고 주변편의시설확충  신축상가주택매매</t>
        </is>
      </c>
      <c r="P877" s="6">
        <f>HYPERLINK("https://fin.land.naver.com/articles/2652812602",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하림</t>
        </is>
      </c>
      <c r="T877" s="4" t="n">
        <v>2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3면 코너각지 입지좋은 상가주택</t>
        </is>
      </c>
      <c r="P881" s="6">
        <f>HYPERLINK("https://fin.land.naver.com/articles/2652484166",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중심 먹자골목에 위치한 매물</t>
        </is>
      </c>
      <c r="P882" s="6">
        <f>HYPERLINK("https://fin.land.naver.com/articles/2655167933",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210000</v>
      </c>
      <c r="H885" s="4" t="n">
        <v>0</v>
      </c>
      <c r="I885" s="4" t="n">
        <v>248</v>
      </c>
      <c r="J885" s="4" t="n">
        <v>75</v>
      </c>
      <c r="K885" s="5" t="n">
        <v>2800</v>
      </c>
      <c r="L885" s="4" t="n">
        <v>447</v>
      </c>
      <c r="M885" s="4" t="n">
        <v>135</v>
      </c>
      <c r="N885" s="5" t="n">
        <v>1555.6</v>
      </c>
      <c r="O885" s="3" t="inlineStr">
        <is>
          <t>오송2산단 메인상권 핵심사거리 3면 코너, 수익률 양호한 상가주택</t>
        </is>
      </c>
      <c r="P885" s="6">
        <f>HYPERLINK("https://fin.land.naver.com/articles/2655277781",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광장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단독</t>
        </is>
      </c>
      <c r="F886" s="3" t="inlineStr">
        <is>
          <t>월세</t>
        </is>
      </c>
      <c r="G886" s="4" t="n">
        <v>1000</v>
      </c>
      <c r="H886" s="4" t="n">
        <v>75</v>
      </c>
      <c r="I886" s="4" t="n">
        <v>0</v>
      </c>
      <c r="J886" s="4" t="n">
        <v>0</v>
      </c>
      <c r="K886" s="5" t="n">
        <v>0</v>
      </c>
      <c r="L886" s="4" t="n">
        <v>41</v>
      </c>
      <c r="M886" s="4" t="n">
        <v>12</v>
      </c>
      <c r="N886" s="5" t="n">
        <v>6.2</v>
      </c>
      <c r="O886" s="3" t="inlineStr">
        <is>
          <t>오송2단지 빠른입주 예쁜 투룸  중문, 건조기 , 시스템에어컨</t>
        </is>
      </c>
      <c r="P886" s="6">
        <f>HYPERLINK("https://fin.land.naver.com/articles/2655925503",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스케치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496</v>
      </c>
      <c r="M887" s="4" t="n">
        <v>150</v>
      </c>
      <c r="N887" s="5" t="n">
        <v>1400</v>
      </c>
      <c r="O887" s="3" t="inlineStr">
        <is>
          <t>신축단지 초중심 사거리 코너, 인테리어 되어있어요. 보면 반할집</t>
        </is>
      </c>
      <c r="P887" s="6">
        <f>HYPERLINK("https://fin.land.naver.com/articles/2653992108",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447</v>
      </c>
      <c r="M888" s="4" t="n">
        <v>135</v>
      </c>
      <c r="N888" s="5" t="n">
        <v>1555.6</v>
      </c>
      <c r="O888" s="3" t="inlineStr">
        <is>
          <t>오송 1등 입지  월 890만원 오송 최고급 상가주택</t>
        </is>
      </c>
      <c r="P888" s="6">
        <f>HYPERLINK("https://fin.land.naver.com/articles/2655925377",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오송역세권 큰대로변, 1층 프랜차이즈, 월세받기좋아요</t>
        </is>
      </c>
      <c r="P890" s="6">
        <f>HYPERLINK("https://fin.land.naver.com/articles/2653991771",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프로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위치가 최상급인 수익률 좋은 상가주택</t>
        </is>
      </c>
      <c r="P891" s="6">
        <f>HYPERLINK("https://fin.land.naver.com/articles/2653091826",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아시아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중심상권 인근 상가주택 매매, 월세 약 700만원</t>
        </is>
      </c>
      <c r="P892" s="6">
        <f>HYPERLINK("https://fin.land.naver.com/articles/2655758177",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광장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위치 좋은 대로변 상가주택 월 690만 수익</t>
        </is>
      </c>
      <c r="P893" s="6">
        <f>HYPERLINK("https://fin.land.naver.com/articles/2653598171",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미래n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유명프렌차이즈 치킨 입점 유동인구 가장 많은 위치</t>
        </is>
      </c>
      <c r="P894" s="6">
        <f>HYPERLINK("https://fin.land.naver.com/articles/2655925537",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프렌즈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4차선도로접</t>
        </is>
      </c>
      <c r="P895" s="6">
        <f>HYPERLINK("https://fin.land.naver.com/articles/2656645542",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태원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1층 프랜차이즈 입점. 넓고 쾌적한 주인세대. 초등학교 인접</t>
        </is>
      </c>
      <c r="P898" s="6">
        <f>HYPERLINK("https://fin.land.naver.com/articles/2653940164",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247</v>
      </c>
      <c r="J899" s="4" t="n">
        <v>75</v>
      </c>
      <c r="K899" s="5" t="n">
        <v>2133.3</v>
      </c>
      <c r="L899" s="4" t="n">
        <v>492</v>
      </c>
      <c r="M899" s="4" t="n">
        <v>149</v>
      </c>
      <c r="N899" s="5" t="n">
        <v>1073.8</v>
      </c>
      <c r="O899" s="3" t="inlineStr">
        <is>
          <t>대로변 태양광 설치 주인세대 입주 가능</t>
        </is>
      </c>
      <c r="P899" s="6">
        <f>HYPERLINK("https://fin.land.naver.com/articles/2655128525",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165000</v>
      </c>
      <c r="H901" s="4" t="n">
        <v>0</v>
      </c>
      <c r="I901" s="4" t="n">
        <v>247</v>
      </c>
      <c r="J901" s="4" t="n">
        <v>75</v>
      </c>
      <c r="K901" s="5" t="n">
        <v>2200</v>
      </c>
      <c r="L901" s="4" t="n">
        <v>492</v>
      </c>
      <c r="M901" s="4" t="n">
        <v>149</v>
      </c>
      <c r="N901" s="5" t="n">
        <v>1107.4</v>
      </c>
      <c r="O901" s="3" t="inlineStr">
        <is>
          <t>4차선 도로변 상가주택, 공실걱정 적은 위치</t>
        </is>
      </c>
      <c r="P901" s="6">
        <f>HYPERLINK("https://fin.land.naver.com/articles/2655277728",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광장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합리적인 금액으로 매수하기 좋은 매물입니다</t>
        </is>
      </c>
      <c r="P902" s="6">
        <f>HYPERLINK("https://fin.land.naver.com/articles/2652143636",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오송2단지창조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0</t>
        </is>
      </c>
      <c r="E903" s="3" t="inlineStr">
        <is>
          <t>다가구</t>
        </is>
      </c>
      <c r="F903" s="3" t="inlineStr">
        <is>
          <t>월세</t>
        </is>
      </c>
      <c r="G903" s="4" t="n">
        <v>500</v>
      </c>
      <c r="H903" s="4" t="n">
        <v>51</v>
      </c>
      <c r="I903" s="4" t="n">
        <v>26</v>
      </c>
      <c r="J903" s="4" t="n">
        <v>8</v>
      </c>
      <c r="K903" s="5" t="n">
        <v>6.4</v>
      </c>
      <c r="L903" s="4" t="n">
        <v>26</v>
      </c>
      <c r="M903" s="4" t="n">
        <v>8</v>
      </c>
      <c r="N903" s="5" t="n">
        <v>6.4</v>
      </c>
      <c r="O903" s="3" t="inlineStr">
        <is>
          <t>귀한 원룸.11월초 입주 가능해요.</t>
        </is>
      </c>
      <c r="P903" s="6">
        <f>HYPERLINK("https://fin.land.naver.com/articles/2655871217",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이룸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0</v>
      </c>
      <c r="J904" s="4" t="n">
        <v>0</v>
      </c>
      <c r="K904" s="5" t="n">
        <v>0</v>
      </c>
      <c r="L904" s="4" t="n">
        <v>25</v>
      </c>
      <c r="M904" s="4" t="n">
        <v>8</v>
      </c>
      <c r="N904" s="5" t="n">
        <v>6.2</v>
      </c>
      <c r="O904" s="3" t="inlineStr">
        <is>
          <t>원룸, 11월7일 입주가능</t>
        </is>
      </c>
      <c r="P904" s="6">
        <f>HYPERLINK("https://fin.land.naver.com/articles/2655830210",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태원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전세</t>
        </is>
      </c>
      <c r="G905" s="4" t="n">
        <v>6000</v>
      </c>
      <c r="H905" s="4" t="n">
        <v>0</v>
      </c>
      <c r="I905" s="4" t="n">
        <v>141</v>
      </c>
      <c r="J905" s="4" t="n">
        <v>43</v>
      </c>
      <c r="K905" s="5" t="n">
        <v>139.5</v>
      </c>
      <c r="L905" s="4" t="n">
        <v>32</v>
      </c>
      <c r="M905" s="4" t="n">
        <v>10</v>
      </c>
      <c r="N905" s="5" t="n">
        <v>600</v>
      </c>
      <c r="O905" s="3" t="inlineStr">
        <is>
          <t>큰투베이 오송역세권으로 인프라좋고 주변편의시설확충 신축건물로 별도주차시설</t>
        </is>
      </c>
      <c r="P905" s="6">
        <f>HYPERLINK("https://fin.land.naver.com/articles/2650974716",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46</v>
      </c>
      <c r="I906" s="4" t="n">
        <v>46</v>
      </c>
      <c r="J906" s="4" t="n">
        <v>14</v>
      </c>
      <c r="K906" s="5" t="n">
        <v>3.3</v>
      </c>
      <c r="L906" s="4" t="n">
        <v>26</v>
      </c>
      <c r="M906" s="4" t="n">
        <v>8</v>
      </c>
      <c r="N906" s="5" t="n">
        <v>5.8</v>
      </c>
      <c r="O906" s="3" t="inlineStr">
        <is>
          <t>중문있는 큰길가 원룸,  4층  해 잘들어 는집</t>
        </is>
      </c>
      <c r="P906" s="6">
        <f>HYPERLINK("https://fin.land.naver.com/articles/2656684300",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주인세대 실거주 가능한 귀한 매물임대도 가능</t>
        </is>
      </c>
      <c r="P907" s="6">
        <f>HYPERLINK("https://fin.land.naver.com/articles/2656439501",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오송2단지창조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상업지 오송역 모두 가까운 위치 좋은 상가주택</t>
        </is>
      </c>
      <c r="P908" s="6">
        <f>HYPERLINK("https://fin.land.naver.com/articles/2655925402",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프렌즈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130000</v>
      </c>
      <c r="H909" s="4" t="n">
        <v>0</v>
      </c>
      <c r="I909" s="4" t="n">
        <v>240</v>
      </c>
      <c r="J909" s="4" t="n">
        <v>73</v>
      </c>
      <c r="K909" s="5" t="n">
        <v>1780.8</v>
      </c>
      <c r="L909" s="4" t="n">
        <v>494</v>
      </c>
      <c r="M909" s="4" t="n">
        <v>149</v>
      </c>
      <c r="N909" s="5" t="n">
        <v>872.5</v>
      </c>
      <c r="O909" s="3" t="inlineStr">
        <is>
          <t>조용한 수익형 건물 투자. 투자금 6억미만 수익률 7프로대</t>
        </is>
      </c>
      <c r="P909" s="6">
        <f>HYPERLINK("https://fin.land.naver.com/articles/2651861376",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오송미소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135000</v>
      </c>
      <c r="H910" s="4" t="n">
        <v>0</v>
      </c>
      <c r="I910" s="4" t="n">
        <v>267</v>
      </c>
      <c r="J910" s="4" t="n">
        <v>81</v>
      </c>
      <c r="K910" s="5" t="n">
        <v>1666.7</v>
      </c>
      <c r="L910" s="4" t="n">
        <v>494</v>
      </c>
      <c r="M910" s="4" t="n">
        <v>149</v>
      </c>
      <c r="N910" s="5" t="n">
        <v>906</v>
      </c>
      <c r="O910" s="3" t="inlineStr">
        <is>
          <t>공실없이 임대중인 수익률 높은 건물</t>
        </is>
      </c>
      <c r="P910" s="6">
        <f>HYPERLINK("https://fin.land.naver.com/articles/2656356542",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130000</v>
      </c>
      <c r="H911" s="4" t="n">
        <v>0</v>
      </c>
      <c r="I911" s="4" t="n">
        <v>267</v>
      </c>
      <c r="J911" s="4" t="n">
        <v>81</v>
      </c>
      <c r="K911" s="5" t="n">
        <v>1604.9</v>
      </c>
      <c r="L911" s="4" t="n">
        <v>494</v>
      </c>
      <c r="M911" s="4" t="n">
        <v>149</v>
      </c>
      <c r="N911" s="5" t="n">
        <v>872.5</v>
      </c>
      <c r="O911" s="3" t="inlineStr">
        <is>
          <t>주인세대 입주가능,월530만원,옥상사용가능,</t>
        </is>
      </c>
      <c r="P911" s="6">
        <f>HYPERLINK("https://fin.land.naver.com/articles/2651896607",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오송올래</t>
        </is>
      </c>
      <c r="T911" s="4" t="n">
        <v>2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월세 안정적인 역세권 다가구주택. 오송역 인접. 공실없음</t>
        </is>
      </c>
      <c r="P912" s="6">
        <f>HYPERLINK("https://fin.land.naver.com/articles/2653754970",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프로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135000</v>
      </c>
      <c r="H913" s="4" t="n">
        <v>0</v>
      </c>
      <c r="I913" s="4" t="n">
        <v>267</v>
      </c>
      <c r="J913" s="4" t="n">
        <v>81</v>
      </c>
      <c r="K913" s="5" t="n">
        <v>1666.7</v>
      </c>
      <c r="L913" s="4" t="n">
        <v>494</v>
      </c>
      <c r="M913" s="4" t="n">
        <v>149</v>
      </c>
      <c r="N913" s="5" t="n">
        <v>906</v>
      </c>
      <c r="O913" s="3" t="inlineStr">
        <is>
          <t>주인세대 즉시 입주 가능. 공실 걱정 없는 입지</t>
        </is>
      </c>
      <c r="P913" s="6">
        <f>HYPERLINK("https://fin.land.naver.com/articles/2652577364",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오송파라곤하늘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추천매물.임대놓기 좋은 세대 구성으로 세대 공실없이 임대중인 건물</t>
        </is>
      </c>
      <c r="P914" s="6">
        <f>HYPERLINK("https://fin.land.naver.com/articles/2654013680",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오송2단지창조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26년 신축건물, 오송역 10분, 임대완료 현월세694만원</t>
        </is>
      </c>
      <c r="P916" s="6">
        <f>HYPERLINK("https://fin.land.naver.com/articles/2653434418",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현재 만실  매매부터 임대 관리까지 확실히 관리해드립니다.</t>
        </is>
      </c>
      <c r="P918" s="6">
        <f>HYPERLINK("https://fin.land.naver.com/articles/2656631937",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스케치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150000</v>
      </c>
      <c r="H919" s="4" t="n">
        <v>0</v>
      </c>
      <c r="I919" s="4" t="n">
        <v>261</v>
      </c>
      <c r="J919" s="4" t="n">
        <v>79</v>
      </c>
      <c r="K919" s="5" t="n">
        <v>1898.7</v>
      </c>
      <c r="L919" s="4" t="n">
        <v>484</v>
      </c>
      <c r="M919" s="4" t="n">
        <v>146</v>
      </c>
      <c r="N919" s="5" t="n">
        <v>1027.4</v>
      </c>
      <c r="O919" s="3" t="inlineStr">
        <is>
          <t>ㄸr봉 월수익 738만원 오송 2산단 상가주택</t>
        </is>
      </c>
      <c r="P919" s="6">
        <f>HYPERLINK("https://fin.land.naver.com/articles/2655225046",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오송프렌즈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55</v>
      </c>
      <c r="I920" s="4" t="n">
        <v>0</v>
      </c>
      <c r="J920" s="4" t="n">
        <v>0</v>
      </c>
      <c r="K920" s="5" t="n">
        <v>0</v>
      </c>
      <c r="L920" s="4" t="n">
        <v>30</v>
      </c>
      <c r="M920" s="4" t="n">
        <v>9</v>
      </c>
      <c r="N920" s="5" t="n">
        <v>6.1</v>
      </c>
      <c r="O920" s="3" t="inlineStr">
        <is>
          <t>10월하순 입주가능한 신축 원룸</t>
        </is>
      </c>
      <c r="P920" s="6">
        <f>HYPERLINK("https://fin.land.naver.com/articles/2651014921",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50</v>
      </c>
      <c r="I921" s="4" t="n">
        <v>0</v>
      </c>
      <c r="J921" s="4" t="n">
        <v>0</v>
      </c>
      <c r="K921" s="5" t="n">
        <v>0</v>
      </c>
      <c r="L921" s="4" t="n">
        <v>29</v>
      </c>
      <c r="M921" s="4" t="n">
        <v>9</v>
      </c>
      <c r="N921" s="5" t="n">
        <v>5.6</v>
      </c>
      <c r="O921" s="3" t="inlineStr">
        <is>
          <t>10월 입주가능 깔끔한 분리형 원룸 내부 컨디션 최상</t>
        </is>
      </c>
      <c r="P921" s="6">
        <f>HYPERLINK("https://fin.land.naver.com/articles/2652375718",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오송바이오창조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115</v>
      </c>
      <c r="I922" s="4" t="n">
        <v>103</v>
      </c>
      <c r="J922" s="4" t="n">
        <v>31</v>
      </c>
      <c r="K922" s="5" t="n">
        <v>3.7</v>
      </c>
      <c r="L922" s="4" t="n">
        <v>89</v>
      </c>
      <c r="M922" s="4" t="n">
        <v>27</v>
      </c>
      <c r="N922" s="5" t="n">
        <v>4.3</v>
      </c>
      <c r="O922" s="3" t="inlineStr">
        <is>
          <t>즉시입주 가능 주인세대, 청소완료, 주거환경 양호</t>
        </is>
      </c>
      <c r="P922" s="6">
        <f>HYPERLINK("https://fin.land.naver.com/articles/2652296317",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광장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103</v>
      </c>
      <c r="J923" s="4" t="n">
        <v>31</v>
      </c>
      <c r="K923" s="5" t="n">
        <v>3.5</v>
      </c>
      <c r="L923" s="4" t="n">
        <v>89</v>
      </c>
      <c r="M923" s="4" t="n">
        <v>27</v>
      </c>
      <c r="N923" s="5" t="n">
        <v>4.1</v>
      </c>
      <c r="O923" s="3" t="inlineStr">
        <is>
          <t>풀옵션 주인세대 월세</t>
        </is>
      </c>
      <c r="P923" s="6">
        <f>HYPERLINK("https://fin.land.naver.com/articles/2650903679",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오송좋은날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상가 같이 이용가능, 월세 개선 여지있음, 코너건물</t>
        </is>
      </c>
      <c r="P926" s="6">
        <f>HYPERLINK("https://fin.land.naver.com/articles/2653990834",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프로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일반원룸</t>
        </is>
      </c>
      <c r="F927" s="3" t="inlineStr">
        <is>
          <t>월세</t>
        </is>
      </c>
      <c r="G927" s="4" t="n">
        <v>300</v>
      </c>
      <c r="H927" s="4" t="n">
        <v>45</v>
      </c>
      <c r="I927" s="4" t="n">
        <v>131</v>
      </c>
      <c r="J927" s="4" t="n">
        <v>40</v>
      </c>
      <c r="K927" s="5" t="n">
        <v>1.1</v>
      </c>
      <c r="L927" s="4" t="n">
        <v>14</v>
      </c>
      <c r="M927" s="4" t="n">
        <v>4</v>
      </c>
      <c r="N927" s="5" t="n">
        <v>11.2</v>
      </c>
      <c r="O927" s="3" t="inlineStr">
        <is>
          <t>원룸 오송역세권으로 인프라좋고 주변편의시설확충  대형무료주차장근처</t>
        </is>
      </c>
      <c r="P927" s="6">
        <f>HYPERLINK("https://fin.land.naver.com/articles/2654518835",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150000</v>
      </c>
      <c r="H928" s="4" t="n">
        <v>0</v>
      </c>
      <c r="I928" s="4" t="n">
        <v>259</v>
      </c>
      <c r="J928" s="4" t="n">
        <v>78</v>
      </c>
      <c r="K928" s="5" t="n">
        <v>1923.1</v>
      </c>
      <c r="L928" s="4" t="n">
        <v>486</v>
      </c>
      <c r="M928" s="4" t="n">
        <v>147</v>
      </c>
      <c r="N928" s="5" t="n">
        <v>1020.4</v>
      </c>
      <c r="O928" s="3" t="inlineStr">
        <is>
          <t>오송바이오산단2지구,오송역세권</t>
        </is>
      </c>
      <c r="P928" s="6">
        <f>HYPERLINK("https://fin.land.naver.com/articles/2656645904",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태원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259</v>
      </c>
      <c r="J929" s="4" t="n">
        <v>78</v>
      </c>
      <c r="K929" s="5" t="n">
        <v>1859</v>
      </c>
      <c r="L929" s="4" t="n">
        <v>486</v>
      </c>
      <c r="M929" s="4" t="n">
        <v>147</v>
      </c>
      <c r="N929" s="5" t="n">
        <v>986.4</v>
      </c>
      <c r="O929" s="3" t="inlineStr">
        <is>
          <t>통매매 역세권의  인프라좋고 주변편의시설확충 신축건물로 가격절충함</t>
        </is>
      </c>
      <c r="P929" s="6">
        <f>HYPERLINK("https://fin.land.naver.com/articles/2650969297",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3면코너 건물로 따스한 햇살이 잘드는 세대</t>
        </is>
      </c>
      <c r="P930" s="6">
        <f>HYPERLINK("https://fin.land.naver.com/articles/2654014682",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오송2단지창조</t>
        </is>
      </c>
      <c r="T930" s="4" t="n">
        <v>2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3</t>
        </is>
      </c>
      <c r="E931" s="3" t="inlineStr">
        <is>
          <t>다가구</t>
        </is>
      </c>
      <c r="F931" s="3" t="inlineStr">
        <is>
          <t>월세</t>
        </is>
      </c>
      <c r="G931" s="4" t="n">
        <v>500</v>
      </c>
      <c r="H931" s="4" t="n">
        <v>55</v>
      </c>
      <c r="I931" s="4" t="n">
        <v>131</v>
      </c>
      <c r="J931" s="4" t="n">
        <v>40</v>
      </c>
      <c r="K931" s="5" t="n">
        <v>1.4</v>
      </c>
      <c r="L931" s="4" t="n">
        <v>28</v>
      </c>
      <c r="M931" s="4" t="n">
        <v>8</v>
      </c>
      <c r="N931" s="5" t="n">
        <v>6.9</v>
      </c>
      <c r="O931" s="3" t="inlineStr">
        <is>
          <t>투베이 오송역세권10분거리 인프라좋고 주변편의시설확충 공원 산책로</t>
        </is>
      </c>
      <c r="P931" s="6">
        <f>HYPERLINK("https://fin.land.naver.com/articles/2652697463",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150000</v>
      </c>
      <c r="H935" s="4" t="n">
        <v>0</v>
      </c>
      <c r="I935" s="4" t="n">
        <v>264</v>
      </c>
      <c r="J935" s="4" t="n">
        <v>80</v>
      </c>
      <c r="K935" s="5" t="n">
        <v>1875</v>
      </c>
      <c r="L935" s="4" t="n">
        <v>425</v>
      </c>
      <c r="M935" s="4" t="n">
        <v>129</v>
      </c>
      <c r="N935" s="5" t="n">
        <v>1162.8</v>
      </c>
      <c r="O935" s="3" t="inlineStr">
        <is>
          <t>nan</t>
        </is>
      </c>
      <c r="P935" s="6">
        <f>HYPERLINK("https://fin.land.naver.com/articles/2650894954",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오송역 인근 내부 시설 및 가전 가구 풀 옵션  공실 적은 인기 단독주택</t>
        </is>
      </c>
      <c r="P938" s="6">
        <f>HYPERLINK("https://fin.land.naver.com/articles/2651983794",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오송퍼스트영웅</t>
        </is>
      </c>
      <c r="T938" s="4" t="n">
        <v>3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155000</v>
      </c>
      <c r="H940" s="4" t="n">
        <v>0</v>
      </c>
      <c r="I940" s="4" t="n">
        <v>264</v>
      </c>
      <c r="J940" s="4" t="n">
        <v>80</v>
      </c>
      <c r="K940" s="5" t="n">
        <v>1937.5</v>
      </c>
      <c r="L940" s="4" t="n">
        <v>425</v>
      </c>
      <c r="M940" s="4" t="n">
        <v>129</v>
      </c>
      <c r="N940" s="5" t="n">
        <v>1201.6</v>
      </c>
      <c r="O940" s="3" t="inlineStr">
        <is>
          <t>오송역세권. 가치상승 기대. 관리 잘 된 상가주택매매</t>
        </is>
      </c>
      <c r="P940" s="6">
        <f>HYPERLINK("https://fin.land.naver.com/articles/2651061208",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노른자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KTX 오송역 도보 5분. 월700만. 즉시 수익 가능한 매물</t>
        </is>
      </c>
      <c r="P941" s="6">
        <f>HYPERLINK("https://fin.land.naver.com/articles/2653394596",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당근플러스</t>
        </is>
      </c>
      <c r="T941" s="4" t="n">
        <v>1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다가구</t>
        </is>
      </c>
      <c r="F947" s="3" t="inlineStr">
        <is>
          <t>월세</t>
        </is>
      </c>
      <c r="G947" s="4" t="n">
        <v>500</v>
      </c>
      <c r="H947" s="4" t="n">
        <v>59</v>
      </c>
      <c r="I947" s="4" t="n">
        <v>32</v>
      </c>
      <c r="J947" s="4" t="n">
        <v>10</v>
      </c>
      <c r="K947" s="5" t="n">
        <v>5.9</v>
      </c>
      <c r="L947" s="4" t="n">
        <v>32</v>
      </c>
      <c r="M947" s="4" t="n">
        <v>10</v>
      </c>
      <c r="N947" s="5" t="n">
        <v>5.9</v>
      </c>
      <c r="O947" s="3" t="inlineStr">
        <is>
          <t>예쁜 투베이.상권 부근.즉시입주가능.</t>
        </is>
      </c>
      <c r="P947" s="6">
        <f>HYPERLINK("https://fin.land.naver.com/articles/2651420256",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이룸</t>
        </is>
      </c>
      <c r="T947" s="4" t="n">
        <v>1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500</v>
      </c>
      <c r="H948" s="4" t="n">
        <v>58</v>
      </c>
      <c r="I948" s="4" t="n">
        <v>0</v>
      </c>
      <c r="J948" s="4" t="n">
        <v>0</v>
      </c>
      <c r="K948" s="5" t="n">
        <v>0</v>
      </c>
      <c r="L948" s="4" t="n">
        <v>32</v>
      </c>
      <c r="M948" s="4" t="n">
        <v>10</v>
      </c>
      <c r="N948" s="5" t="n">
        <v>5.8</v>
      </c>
      <c r="O948" s="3" t="inlineStr">
        <is>
          <t>즉시입주 가능, 대로변에 위치한 깔끔한 투베이 ,베란다 있어요 귀한매물</t>
        </is>
      </c>
      <c r="P948" s="6">
        <f>HYPERLINK("https://fin.land.naver.com/articles/2651362138",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오송바이오창조</t>
        </is>
      </c>
      <c r="T948" s="4" t="n">
        <v>4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70</v>
      </c>
      <c r="I952" s="4" t="n">
        <v>0</v>
      </c>
      <c r="J952" s="4" t="n">
        <v>0</v>
      </c>
      <c r="K952" s="5" t="n">
        <v>0</v>
      </c>
      <c r="L952" s="4" t="n">
        <v>54</v>
      </c>
      <c r="M952" s="4" t="n">
        <v>16</v>
      </c>
      <c r="N952" s="5" t="n">
        <v>4.4</v>
      </c>
      <c r="O952" s="3" t="inlineStr">
        <is>
          <t>투룸, 중문설치, 화장실2개,시스템에어컨3대, 12월20일입주가능</t>
        </is>
      </c>
      <c r="P952" s="6">
        <f>HYPERLINK("https://fin.land.naver.com/articles/2656089362",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태원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110</v>
      </c>
      <c r="I953" s="4" t="n">
        <v>0</v>
      </c>
      <c r="J953" s="4" t="n">
        <v>0</v>
      </c>
      <c r="K953" s="5" t="n">
        <v>0</v>
      </c>
      <c r="L953" s="4" t="n">
        <v>111</v>
      </c>
      <c r="M953" s="4" t="n">
        <v>34</v>
      </c>
      <c r="N953" s="5" t="n">
        <v>3.2</v>
      </c>
      <c r="O953" s="3" t="inlineStr">
        <is>
          <t>즉시입주. 2산단 주인세대. 대로변 탁 트인 시원한 뷰.</t>
        </is>
      </c>
      <c r="P953" s="6">
        <f>HYPERLINK("https://fin.land.naver.com/articles/2650986783",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당근플러스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120</v>
      </c>
      <c r="I954" s="4" t="n">
        <v>111</v>
      </c>
      <c r="J954" s="4" t="n">
        <v>34</v>
      </c>
      <c r="K954" s="5" t="n">
        <v>3.5</v>
      </c>
      <c r="L954" s="4" t="n">
        <v>90</v>
      </c>
      <c r="M954" s="4" t="n">
        <v>27</v>
      </c>
      <c r="N954" s="5" t="n">
        <v>4.4</v>
      </c>
      <c r="O954" s="3" t="inlineStr">
        <is>
          <t>주인세대 넓고 아늑한유럽식인테리어 뻥뷰기 기가막힌집 설명끝</t>
        </is>
      </c>
      <c r="P954" s="6">
        <f>HYPERLINK("https://fin.land.naver.com/articles/2652407122",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하림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145000</v>
      </c>
      <c r="H956" s="4" t="n">
        <v>0</v>
      </c>
      <c r="I956" s="4" t="n">
        <v>246</v>
      </c>
      <c r="J956" s="4" t="n">
        <v>74</v>
      </c>
      <c r="K956" s="5" t="n">
        <v>1959.5</v>
      </c>
      <c r="L956" s="4" t="n">
        <v>485</v>
      </c>
      <c r="M956" s="4" t="n">
        <v>147</v>
      </c>
      <c r="N956" s="5" t="n">
        <v>986.4</v>
      </c>
      <c r="O956" s="3" t="inlineStr">
        <is>
          <t>대로변에 위치한 입지좋은 다가구 건물</t>
        </is>
      </c>
      <c r="P956" s="6">
        <f>HYPERLINK("https://fin.land.naver.com/articles/2655162801",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오송1단지창조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495</v>
      </c>
      <c r="M958" s="4" t="n">
        <v>150</v>
      </c>
      <c r="N958" s="5" t="n">
        <v>966.7</v>
      </c>
      <c r="O958" s="3" t="inlineStr">
        <is>
          <t>ㄸr봉 입지좋은 대로변 3면코너 공실 없는 안정수익형</t>
        </is>
      </c>
      <c r="P958" s="6">
        <f>HYPERLINK("https://fin.land.naver.com/articles/2651137686",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485</v>
      </c>
      <c r="M959" s="4" t="n">
        <v>147</v>
      </c>
      <c r="N959" s="5" t="n">
        <v>986.4</v>
      </c>
      <c r="O959" s="3" t="inlineStr">
        <is>
          <t>대도로 3면코너  저렴한 매매가 강추매물</t>
        </is>
      </c>
      <c r="P959" s="6">
        <f>HYPERLINK("https://fin.land.naver.com/articles/2655925492",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143000</v>
      </c>
      <c r="H961" s="4" t="n">
        <v>0</v>
      </c>
      <c r="I961" s="4" t="n">
        <v>246</v>
      </c>
      <c r="J961" s="4" t="n">
        <v>74</v>
      </c>
      <c r="K961" s="5" t="n">
        <v>1932.4</v>
      </c>
      <c r="L961" s="4" t="n">
        <v>485</v>
      </c>
      <c r="M961" s="4" t="n">
        <v>147</v>
      </c>
      <c r="N961" s="5" t="n">
        <v>972.8</v>
      </c>
      <c r="O961" s="3" t="inlineStr">
        <is>
          <t>3면 코너건물로 차량 진출입 하기 좋고, 주인세대 거실 남향 배치</t>
        </is>
      </c>
      <c r="P961" s="6">
        <f>HYPERLINK("https://fin.land.naver.com/articles/2656439040",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175000</v>
      </c>
      <c r="H962" s="4" t="n">
        <v>0</v>
      </c>
      <c r="I962" s="4" t="n">
        <v>278</v>
      </c>
      <c r="J962" s="4" t="n">
        <v>84</v>
      </c>
      <c r="K962" s="5" t="n">
        <v>2083.3</v>
      </c>
      <c r="L962" s="4" t="n">
        <v>533</v>
      </c>
      <c r="M962" s="4" t="n">
        <v>161</v>
      </c>
      <c r="N962" s="5" t="n">
        <v>1087</v>
      </c>
      <c r="O962" s="3" t="inlineStr">
        <is>
          <t>낮과 밤이 다른 수익률 높은 알짜 건물. 중심상가.오송역 도보 7분</t>
        </is>
      </c>
      <c r="P962" s="6">
        <f>HYPERLINK("https://fin.land.naver.com/articles/2656352891",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오송미소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135</v>
      </c>
      <c r="J963" s="4" t="n">
        <v>41</v>
      </c>
      <c r="K963" s="5" t="n">
        <v>1.5</v>
      </c>
      <c r="L963" s="4" t="n">
        <v>32</v>
      </c>
      <c r="M963" s="4" t="n">
        <v>10</v>
      </c>
      <c r="N963" s="5" t="n">
        <v>6</v>
      </c>
      <c r="O963" s="3" t="inlineStr">
        <is>
          <t>넓은투베이 오송역10분거리 인프라좋고 주변편의시설확충  대중교통편리</t>
        </is>
      </c>
      <c r="P963" s="6">
        <f>HYPERLINK("https://fin.land.naver.com/articles/2655703425",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단독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통매매 역세권으로 인프라좋고 주변편의시설확충 신축건물로 씨씨티비안전지역</t>
        </is>
      </c>
      <c r="P964" s="6">
        <f>HYPERLINK("https://fin.land.naver.com/articles/2653290915",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하림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278</v>
      </c>
      <c r="J967" s="4" t="n">
        <v>84</v>
      </c>
      <c r="K967" s="5" t="n">
        <v>1547.6</v>
      </c>
      <c r="L967" s="4" t="n">
        <v>493</v>
      </c>
      <c r="M967" s="4" t="n">
        <v>149</v>
      </c>
      <c r="N967" s="5" t="n">
        <v>872.5</v>
      </c>
      <c r="O967" s="3" t="inlineStr">
        <is>
          <t>현 수익률 9.3 투자강추, 실투자금 4억대 월580만, ktx도보10분</t>
        </is>
      </c>
      <c r="P967" s="6">
        <f>HYPERLINK("https://fin.land.naver.com/articles/2655394704",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132000</v>
      </c>
      <c r="H968" s="4" t="n">
        <v>0</v>
      </c>
      <c r="I968" s="4" t="n">
        <v>278</v>
      </c>
      <c r="J968" s="4" t="n">
        <v>84</v>
      </c>
      <c r="K968" s="5" t="n">
        <v>1571.4</v>
      </c>
      <c r="L968" s="4" t="n">
        <v>493</v>
      </c>
      <c r="M968" s="4" t="n">
        <v>149</v>
      </c>
      <c r="N968" s="5" t="n">
        <v>885.9</v>
      </c>
      <c r="O968" s="3" t="inlineStr">
        <is>
          <t>수익형 상가주택</t>
        </is>
      </c>
      <c r="P968" s="6">
        <f>HYPERLINK("https://fin.land.naver.com/articles/2652018765",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오송1단지창조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 신축 상가주택. 전체 임대완료.</t>
        </is>
      </c>
      <c r="P971" s="6">
        <f>HYPERLINK("https://fin.land.naver.com/articles/2656611255",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당근플러스</t>
        </is>
      </c>
      <c r="T971" s="4" t="n">
        <v>3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공실 없는 신축건물 주인세대 거주하며 월 530만원 수익 가능</t>
        </is>
      </c>
      <c r="P972" s="6">
        <f>HYPERLINK("https://fin.land.naver.com/articles/2651796492",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미래n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2025년 신축 리스크 적은 상가주택 상가임대완료</t>
        </is>
      </c>
      <c r="P973" s="6">
        <f>HYPERLINK("https://fin.land.naver.com/articles/2655925569",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25년신축 상가주택 매매</t>
        </is>
      </c>
      <c r="P974" s="6">
        <f>HYPERLINK("https://fin.land.naver.com/articles/2651080065",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e복덕방</t>
        </is>
      </c>
      <c r="T974" s="4" t="n">
        <v>2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153</v>
      </c>
      <c r="J976" s="4" t="n">
        <v>46</v>
      </c>
      <c r="K976" s="5" t="n">
        <v>1.1</v>
      </c>
      <c r="L976" s="4" t="n">
        <v>24</v>
      </c>
      <c r="M976" s="4" t="n">
        <v>7</v>
      </c>
      <c r="N976" s="5" t="n">
        <v>7.1</v>
      </c>
      <c r="O976" s="3" t="inlineStr">
        <is>
          <t>원룸 오송역세권10분거리  인프라좋고 주변편의시설확충 편의점 공원 영화관</t>
        </is>
      </c>
      <c r="P976" s="6">
        <f>HYPERLINK("https://fin.land.naver.com/articles/2655706333",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24</v>
      </c>
      <c r="M977" s="4" t="n">
        <v>7</v>
      </c>
      <c r="N977" s="5" t="n">
        <v>7.1</v>
      </c>
      <c r="O977" s="3" t="inlineStr">
        <is>
          <t>오송역 초인근에 위치한 풀옵션 분리형 원룸 월세</t>
        </is>
      </c>
      <c r="P977" s="6">
        <f>HYPERLINK("https://fin.land.naver.com/articles/2656622188",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오송역 프리미엄 체감입지, 대로변 예쁜 건물, 실거주하면서 월세받으세요</t>
        </is>
      </c>
      <c r="P978" s="6">
        <f>HYPERLINK("https://fin.land.naver.com/articles/2653989858",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 12산단 관통도로에 위치한 코너 상가주택, 공실걱정 적은 입지</t>
        </is>
      </c>
      <c r="P979" s="6">
        <f>HYPERLINK("https://fin.land.naver.com/articles/2655758400",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광장</t>
        </is>
      </c>
      <c r="T979" s="4" t="n">
        <v>2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110000</v>
      </c>
      <c r="H981" s="4" t="n">
        <v>0</v>
      </c>
      <c r="I981" s="4" t="n">
        <v>268</v>
      </c>
      <c r="J981" s="4" t="n">
        <v>81</v>
      </c>
      <c r="K981" s="5" t="n">
        <v>1358</v>
      </c>
      <c r="L981" s="4" t="n">
        <v>377</v>
      </c>
      <c r="M981" s="4" t="n">
        <v>114</v>
      </c>
      <c r="N981" s="5" t="n">
        <v>964.9</v>
      </c>
      <c r="O981" s="3" t="inlineStr">
        <is>
          <t>오송역 가까운 상가주택 매매</t>
        </is>
      </c>
      <c r="P981" s="6">
        <f>HYPERLINK("https://fin.land.naver.com/articles/2650901943",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오송좋은날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단독</t>
        </is>
      </c>
      <c r="F982" s="3" t="inlineStr">
        <is>
          <t>월세</t>
        </is>
      </c>
      <c r="G982" s="4" t="n">
        <v>5000</v>
      </c>
      <c r="H982" s="4" t="n">
        <v>51</v>
      </c>
      <c r="I982" s="4" t="n">
        <v>70</v>
      </c>
      <c r="J982" s="4" t="n">
        <v>21</v>
      </c>
      <c r="K982" s="5" t="n">
        <v>2.4</v>
      </c>
      <c r="L982" s="4" t="n">
        <v>45</v>
      </c>
      <c r="M982" s="4" t="n">
        <v>14</v>
      </c>
      <c r="N982" s="5" t="n">
        <v>3.6</v>
      </c>
      <c r="O982" s="3" t="inlineStr">
        <is>
          <t>즉시 입주 ,넓은 투룸, 공원뷰</t>
        </is>
      </c>
      <c r="P982" s="6">
        <f>HYPERLINK("https://fin.land.naver.com/articles/2654326651",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프로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수익률 높은 상가주택</t>
        </is>
      </c>
      <c r="P986" s="6">
        <f>HYPERLINK("https://fin.land.naver.com/articles/2655792803",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nan</t>
        </is>
      </c>
      <c r="P988" s="6">
        <f>HYPERLINK("https://fin.land.naver.com/articles/2655925441",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프렌즈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오송역 도보거리 주인세대 거주하며 월 560만원 수익가능</t>
        </is>
      </c>
      <c r="P990" s="6">
        <f>HYPERLINK("https://fin.land.naver.com/articles/2654685649",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미래n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단독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추천매물수익율 높으며,누구나 거주하고 싶은 구조,오송역인근 주택매매</t>
        </is>
      </c>
      <c r="P991" s="6">
        <f>HYPERLINK("https://fin.land.naver.com/articles/2655166039",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170000</v>
      </c>
      <c r="H992" s="4" t="n">
        <v>0</v>
      </c>
      <c r="I992" s="4" t="n">
        <v>270</v>
      </c>
      <c r="J992" s="4" t="n">
        <v>82</v>
      </c>
      <c r="K992" s="5" t="n">
        <v>2073.2</v>
      </c>
      <c r="L992" s="4" t="n">
        <v>494</v>
      </c>
      <c r="M992" s="4" t="n">
        <v>149</v>
      </c>
      <c r="N992" s="5" t="n">
        <v>1140.9</v>
      </c>
      <c r="O992" s="3" t="inlineStr">
        <is>
          <t>오송역세권. 가치상승기대. 대로변인근</t>
        </is>
      </c>
      <c r="P992" s="6">
        <f>HYPERLINK("https://fin.land.naver.com/articles/2651309277",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노른자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153000</v>
      </c>
      <c r="H993" s="4" t="n">
        <v>0</v>
      </c>
      <c r="I993" s="4" t="n">
        <v>270</v>
      </c>
      <c r="J993" s="4" t="n">
        <v>82</v>
      </c>
      <c r="K993" s="5" t="n">
        <v>1865.9</v>
      </c>
      <c r="L993" s="4" t="n">
        <v>494</v>
      </c>
      <c r="M993" s="4" t="n">
        <v>149</v>
      </c>
      <c r="N993" s="5" t="n">
        <v>1026.8</v>
      </c>
      <c r="O993" s="3" t="inlineStr">
        <is>
          <t>수익률 높은 수익형 상가주택</t>
        </is>
      </c>
      <c r="P993" s="6">
        <f>HYPERLINK("https://fin.land.naver.com/articles/2655113441",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오송1단지창조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감탄나오는 공원뷰 주인세대, 인프라 짱,  오송역 도보가능</t>
        </is>
      </c>
      <c r="P994" s="6">
        <f>HYPERLINK("https://fin.land.naver.com/articles/2653753236",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수익률 높고 관리 잘 되었있는 상가주택</t>
        </is>
      </c>
      <c r="P995" s="6">
        <f>HYPERLINK("https://fin.land.naver.com/articles/2654907070",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대로변,공원맞은편,입지조건최상,수익율7프로</t>
        </is>
      </c>
      <c r="P996" s="6">
        <f>HYPERLINK("https://fin.land.naver.com/articles/2651377930",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내 집앞 공원이 있으며, 막힘없는 뷰,수익율이 좋은 매매 매물입니다</t>
        </is>
      </c>
      <c r="P997" s="6">
        <f>HYPERLINK("https://fin.land.naver.com/articles/2655173326",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오송2단지창조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탁트인 거실뷰 맛집, 살고싶은 집,공원이 함께하는 집</t>
        </is>
      </c>
      <c r="P998" s="6">
        <f>HYPERLINK("https://fin.land.naver.com/articles/2656441070",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오송2단지창조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2000</v>
      </c>
      <c r="H999" s="4" t="n">
        <v>90</v>
      </c>
      <c r="I999" s="4" t="n">
        <v>138</v>
      </c>
      <c r="J999" s="4" t="n">
        <v>42</v>
      </c>
      <c r="K999" s="5" t="n">
        <v>2.1</v>
      </c>
      <c r="L999" s="4" t="n">
        <v>59</v>
      </c>
      <c r="M999" s="4" t="n">
        <v>18</v>
      </c>
      <c r="N999" s="5" t="n">
        <v>5</v>
      </c>
      <c r="O999" s="3" t="inlineStr">
        <is>
          <t>쓰리룸 오송역세권으로 인프라좋고 주변편의시설확충 파출소 공원 대형마트</t>
        </is>
      </c>
      <c r="P999" s="6">
        <f>HYPERLINK("https://fin.land.naver.com/articles/2652563343",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하림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2000</v>
      </c>
      <c r="H1000" s="4" t="n">
        <v>105</v>
      </c>
      <c r="I1000" s="4" t="n">
        <v>59</v>
      </c>
      <c r="J1000" s="4" t="n">
        <v>18</v>
      </c>
      <c r="K1000" s="5" t="n">
        <v>5.8</v>
      </c>
      <c r="L1000" s="4" t="n">
        <v>59</v>
      </c>
      <c r="M1000" s="4" t="n">
        <v>18</v>
      </c>
      <c r="N1000" s="5" t="n">
        <v>5.8</v>
      </c>
      <c r="O1000" s="3" t="inlineStr">
        <is>
          <t>10월 중순 입주가능, 화장실 2개 쓰리룸, 채광좋고 따뜻한 집</t>
        </is>
      </c>
      <c r="P1000" s="6">
        <f>HYPERLINK("https://fin.land.naver.com/articles/2654353146",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코너입지 2025년 신축건물</t>
        </is>
      </c>
      <c r="P1001" s="6">
        <f>HYPERLINK("https://fin.land.naver.com/articles/2655925528",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프렌즈</t>
        </is>
      </c>
      <c r="T1001" s="4" t="n">
        <v>2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오송역 가까운 다가구주택</t>
        </is>
      </c>
      <c r="P1003" s="6">
        <f>HYPERLINK("https://fin.land.naver.com/articles/2653410829",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오송좋은날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247</v>
      </c>
      <c r="J1004" s="4" t="n">
        <v>75</v>
      </c>
      <c r="K1004" s="5" t="n">
        <v>2200</v>
      </c>
      <c r="L1004" s="4" t="n">
        <v>492</v>
      </c>
      <c r="M1004" s="4" t="n">
        <v>149</v>
      </c>
      <c r="N1004" s="5" t="n">
        <v>1107.4</v>
      </c>
      <c r="O1004" s="3" t="inlineStr">
        <is>
          <t>오송역세권,주인세대첫입주,코너건물</t>
        </is>
      </c>
      <c r="P1004" s="6">
        <f>HYPERLINK("https://fin.land.naver.com/articles/2653786688",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169000</v>
      </c>
      <c r="H1005" s="4" t="n">
        <v>0</v>
      </c>
      <c r="I1005" s="4" t="n">
        <v>247</v>
      </c>
      <c r="J1005" s="4" t="n">
        <v>75</v>
      </c>
      <c r="K1005" s="5" t="n">
        <v>2253.3</v>
      </c>
      <c r="L1005" s="4" t="n">
        <v>492</v>
      </c>
      <c r="M1005" s="4" t="n">
        <v>149</v>
      </c>
      <c r="N1005" s="5" t="n">
        <v>1134.2</v>
      </c>
      <c r="O1005" s="3" t="inlineStr">
        <is>
          <t>2025년 신축. 코너건물로 가치 상승 기대</t>
        </is>
      </c>
      <c r="P1005" s="6">
        <f>HYPERLINK("https://fin.land.naver.com/articles/2651061199",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노른자</t>
        </is>
      </c>
      <c r="T1005" s="4" t="n">
        <v>1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원룸촌 중앙에 위치한 사거리 코너 건물</t>
        </is>
      </c>
      <c r="P1006" s="6">
        <f>HYPERLINK("https://fin.land.naver.com/articles/2653091295",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아시아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 도보권 신축건물 주인세대 거주하며 548만 수익</t>
        </is>
      </c>
      <c r="P1007" s="6">
        <f>HYPERLINK("https://fin.land.naver.com/articles/2655517402",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미래n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5000</v>
      </c>
      <c r="H1015" s="4" t="n">
        <v>51</v>
      </c>
      <c r="I1015" s="4" t="n">
        <v>81</v>
      </c>
      <c r="J1015" s="4" t="n">
        <v>25</v>
      </c>
      <c r="K1015" s="5" t="n">
        <v>2</v>
      </c>
      <c r="L1015" s="4" t="n">
        <v>55</v>
      </c>
      <c r="M1015" s="4" t="n">
        <v>17</v>
      </c>
      <c r="N1015" s="5" t="n">
        <v>3</v>
      </c>
      <c r="O1015" s="3" t="inlineStr">
        <is>
          <t>중문있는 반전세 투룸</t>
        </is>
      </c>
      <c r="P1015" s="6">
        <f>HYPERLINK("https://fin.land.naver.com/articles/2654379213",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5000</v>
      </c>
      <c r="H1016" s="4" t="n">
        <v>50</v>
      </c>
      <c r="I1016" s="4" t="n">
        <v>0</v>
      </c>
      <c r="J1016" s="4" t="n">
        <v>0</v>
      </c>
      <c r="K1016" s="5" t="n">
        <v>0</v>
      </c>
      <c r="L1016" s="4" t="n">
        <v>52</v>
      </c>
      <c r="M1016" s="4" t="n">
        <v>16</v>
      </c>
      <c r="N1016" s="5" t="n">
        <v>3.1</v>
      </c>
      <c r="O1016" s="3" t="inlineStr">
        <is>
          <t>귀한 투룸 반전세. 보증금 및 월세 조율 가능</t>
        </is>
      </c>
      <c r="P1016" s="6">
        <f>HYPERLINK("https://fin.land.naver.com/articles/2654856038",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당근플러스</t>
        </is>
      </c>
      <c r="T1016" s="4" t="n">
        <v>3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오송역인근 임대 선호가 많아 공실없는 건물</t>
        </is>
      </c>
      <c r="P1017" s="6">
        <f>HYPERLINK("https://fin.land.naver.com/articles/2652266836",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nan</t>
        </is>
      </c>
      <c r="P1018" s="6">
        <f>HYPERLINK("https://fin.land.naver.com/articles/2656356119",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25</v>
      </c>
      <c r="J1023" s="4" t="n">
        <v>8</v>
      </c>
      <c r="K1023" s="5" t="n">
        <v>7</v>
      </c>
      <c r="L1023" s="4" t="n">
        <v>25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HYPERLINK("https://fin.land.naver.com/articles/2652304883",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27</v>
      </c>
      <c r="J1024" s="4" t="n">
        <v>8</v>
      </c>
      <c r="K1024" s="5" t="n">
        <v>7</v>
      </c>
      <c r="L1024" s="4" t="n">
        <v>27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HYPERLINK("https://fin.land.naver.com/articles/2655373898",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임대하기 좋은 투베이로 구성된 건물,공실 걱정 없는 건물입니다</t>
        </is>
      </c>
      <c r="P1031" s="6">
        <f>HYPERLINK("https://fin.land.naver.com/articles/2654014208",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수익형 투자 매물로 추천드리는 상가주택</t>
        </is>
      </c>
      <c r="P1032" s="6">
        <f>HYPERLINK("https://fin.land.naver.com/articles/2655114188",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오송1단지창조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수익율 좋은 투자하기 좋은 매물,임대형으로 적합한 추천 매물</t>
        </is>
      </c>
      <c r="P1033" s="6">
        <f>HYPERLINK("https://fin.land.naver.com/articles/2655168266",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회사 기숙사용으로 활용하기 좋은 원룸으로 구성된 건물,수익율좋음</t>
        </is>
      </c>
      <c r="P1034" s="6">
        <f>HYPERLINK("https://fin.land.naver.com/articles/2652110647",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아파트 인접하여 쾌적. 수익률 좋음. 역세권 다가구</t>
        </is>
      </c>
      <c r="P1035" s="6">
        <f>HYPERLINK("https://fin.land.naver.com/articles/2651757758",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프로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대단위아파트단지앞,오송역근거리,총11가구 수익률 굿</t>
        </is>
      </c>
      <c r="P1036" s="6">
        <f>HYPERLINK("https://fin.land.naver.com/articles/2651378467",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오송올래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원룸으로만 구성되어 기숙사로 활용하기 좋은 건물</t>
        </is>
      </c>
      <c r="P1037" s="6">
        <f>HYPERLINK("https://fin.land.naver.com/articles/2656438404",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오송2단지창조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nan</t>
        </is>
      </c>
      <c r="P1038" s="6">
        <f>HYPERLINK("https://fin.land.naver.com/articles/2655925420",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프렌즈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전세</t>
        </is>
      </c>
      <c r="G1044" s="4" t="n">
        <v>10000</v>
      </c>
      <c r="H1044" s="4" t="n">
        <v>0</v>
      </c>
      <c r="I1044" s="4" t="n">
        <v>82</v>
      </c>
      <c r="J1044" s="4" t="n">
        <v>25</v>
      </c>
      <c r="K1044" s="5" t="n">
        <v>400</v>
      </c>
      <c r="L1044" s="4" t="n">
        <v>27</v>
      </c>
      <c r="M1044" s="4" t="n">
        <v>8</v>
      </c>
      <c r="N1044" s="5" t="n">
        <v>1250</v>
      </c>
      <c r="O1044" s="3" t="inlineStr">
        <is>
          <t>즉시 입주 가능한 채광좋은 전세 투베이</t>
        </is>
      </c>
      <c r="P1044" s="6">
        <f>HYPERLINK("https://fin.land.naver.com/articles/2653303849",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61</v>
      </c>
      <c r="I1047" s="4" t="n">
        <v>0</v>
      </c>
      <c r="J1047" s="4" t="n">
        <v>0</v>
      </c>
      <c r="K1047" s="5" t="n">
        <v>0</v>
      </c>
      <c r="L1047" s="4" t="n">
        <v>27</v>
      </c>
      <c r="M1047" s="4" t="n">
        <v>8</v>
      </c>
      <c r="N1047" s="5" t="n">
        <v>7.6</v>
      </c>
      <c r="O1047" s="3" t="inlineStr">
        <is>
          <t>ㄸr봉 26년 신축 채광이 쏟아지고  화이트톤 깔끔한 풀옵션 투베이</t>
        </is>
      </c>
      <c r="P1047" s="6">
        <f>HYPERLINK("https://fin.land.naver.com/articles/2651645479",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오송프렌즈</t>
        </is>
      </c>
      <c r="T1047" s="4" t="n">
        <v>2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7.5</v>
      </c>
      <c r="O1049" s="3" t="inlineStr">
        <is>
          <t>즉시입주 분리형원룸 오송2단지 시세보다 저렴 풀옵션 입니다</t>
        </is>
      </c>
      <c r="P1049" s="6">
        <f>HYPERLINK("https://fin.land.naver.com/articles/2656246106",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스케치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45</v>
      </c>
      <c r="I1050" s="4" t="n">
        <v>0</v>
      </c>
      <c r="J1050" s="4" t="n">
        <v>0</v>
      </c>
      <c r="K1050" s="5" t="n">
        <v>0</v>
      </c>
      <c r="L1050" s="4" t="n">
        <v>20</v>
      </c>
      <c r="M1050" s="4" t="n">
        <v>6</v>
      </c>
      <c r="N1050" s="5" t="n">
        <v>7.5</v>
      </c>
      <c r="O1050" s="3" t="inlineStr">
        <is>
          <t>즉시입주 가능 침대까지 풀옵션 분리형 원룸 정석</t>
        </is>
      </c>
      <c r="P1050" s="6">
        <f>HYPERLINK("https://fin.land.naver.com/articles/2655663669",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41</v>
      </c>
      <c r="I1051" s="4" t="n">
        <v>46</v>
      </c>
      <c r="J1051" s="4" t="n">
        <v>14</v>
      </c>
      <c r="K1051" s="5" t="n">
        <v>2.9</v>
      </c>
      <c r="L1051" s="4" t="n">
        <v>20</v>
      </c>
      <c r="M1051" s="4" t="n">
        <v>6</v>
      </c>
      <c r="N1051" s="5" t="n">
        <v>6.8</v>
      </c>
      <c r="O1051" s="3" t="inlineStr">
        <is>
          <t>시세 대비 저렴한 원룸,서두르세요</t>
        </is>
      </c>
      <c r="P1051" s="6">
        <f>HYPERLINK("https://fin.land.naver.com/articles/2656221194",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20</v>
      </c>
      <c r="J1052" s="4" t="n">
        <v>6</v>
      </c>
      <c r="K1052" s="5" t="n">
        <v>7.5</v>
      </c>
      <c r="L1052" s="4" t="n">
        <v>20</v>
      </c>
      <c r="M1052" s="4" t="n">
        <v>6</v>
      </c>
      <c r="N1052" s="5" t="n">
        <v>7.5</v>
      </c>
      <c r="O1052" s="3" t="inlineStr">
        <is>
          <t>분리형 원룸. 즉시입주가능. 조용한 주택가 내.</t>
        </is>
      </c>
      <c r="P1052" s="6">
        <f>HYPERLINK("https://fin.land.naver.com/articles/2655604615",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당근플러스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월수익600만원가능,공원뷰코너건물,실투자금5억미만</t>
        </is>
      </c>
      <c r="P1054" s="6">
        <f>HYPERLINK("https://fin.land.naver.com/articles/2654025853",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오송올래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145000</v>
      </c>
      <c r="H1055" s="4" t="n">
        <v>0</v>
      </c>
      <c r="I1055" s="4" t="n">
        <v>291</v>
      </c>
      <c r="J1055" s="4" t="n">
        <v>88</v>
      </c>
      <c r="K1055" s="5" t="n">
        <v>1647.7</v>
      </c>
      <c r="L1055" s="4" t="n">
        <v>540</v>
      </c>
      <c r="M1055" s="4" t="n">
        <v>163</v>
      </c>
      <c r="N1055" s="5" t="n">
        <v>889.6</v>
      </c>
      <c r="O1055" s="3" t="inlineStr">
        <is>
          <t>코너 상가주택</t>
        </is>
      </c>
      <c r="P1055" s="6">
        <f>HYPERLINK("https://fin.land.naver.com/articles/2652000728",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291</v>
      </c>
      <c r="J1056" s="4" t="n">
        <v>88</v>
      </c>
      <c r="K1056" s="5" t="n">
        <v>1704.5</v>
      </c>
      <c r="L1056" s="4" t="n">
        <v>540</v>
      </c>
      <c r="M1056" s="4" t="n">
        <v>163</v>
      </c>
      <c r="N1056" s="5" t="n">
        <v>920.2</v>
      </c>
      <c r="O1056" s="3" t="inlineStr">
        <is>
          <t>공원앞 실투4억대</t>
        </is>
      </c>
      <c r="P1056" s="6">
        <f>HYPERLINK("https://fin.land.naver.com/articles/2654757229",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e복덕방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500</v>
      </c>
      <c r="H1057" s="4" t="n">
        <v>56</v>
      </c>
      <c r="I1057" s="4" t="n">
        <v>85</v>
      </c>
      <c r="J1057" s="4" t="n">
        <v>26</v>
      </c>
      <c r="K1057" s="5" t="n">
        <v>2.2</v>
      </c>
      <c r="L1057" s="4" t="n">
        <v>28</v>
      </c>
      <c r="M1057" s="4" t="n">
        <v>8</v>
      </c>
      <c r="N1057" s="5" t="n">
        <v>7</v>
      </c>
      <c r="O1057" s="3" t="inlineStr">
        <is>
          <t>깔끔한 투베이,시세대비저렴,솔미초근처위치</t>
        </is>
      </c>
      <c r="P1057" s="6">
        <f>HYPERLINK("https://fin.land.naver.com/articles/2655392540",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프로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150000</v>
      </c>
      <c r="H1058" s="4" t="n">
        <v>0</v>
      </c>
      <c r="I1058" s="4" t="n">
        <v>291</v>
      </c>
      <c r="J1058" s="4" t="n">
        <v>88</v>
      </c>
      <c r="K1058" s="5" t="n">
        <v>1704.5</v>
      </c>
      <c r="L1058" s="4" t="n">
        <v>540</v>
      </c>
      <c r="M1058" s="4" t="n">
        <v>163</v>
      </c>
      <c r="N1058" s="5" t="n">
        <v>920.2</v>
      </c>
      <c r="O1058" s="3" t="inlineStr">
        <is>
          <t>공원뷰 코너 입지  2400세대 아파트단지 옆</t>
        </is>
      </c>
      <c r="P1058" s="6">
        <f>HYPERLINK("https://fin.land.naver.com/articles/2655925574",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프렌즈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0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500</v>
      </c>
      <c r="H1059" s="4" t="n">
        <v>58</v>
      </c>
      <c r="I1059" s="4" t="n">
        <v>28</v>
      </c>
      <c r="J1059" s="4" t="n">
        <v>8</v>
      </c>
      <c r="K1059" s="5" t="n">
        <v>7.2</v>
      </c>
      <c r="L1059" s="4" t="n">
        <v>28</v>
      </c>
      <c r="M1059" s="4" t="n">
        <v>8</v>
      </c>
      <c r="N1059" s="5" t="n">
        <v>7.2</v>
      </c>
      <c r="O1059" s="3" t="inlineStr">
        <is>
          <t>OSoNg.채광좋은 예쁜투베이.</t>
        </is>
      </c>
      <c r="P1059" s="6">
        <f>HYPERLINK("https://fin.land.naver.com/articles/2654571970",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이룸</t>
        </is>
      </c>
      <c r="T1059" s="4" t="n">
        <v>2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145000</v>
      </c>
      <c r="H1060" s="4" t="n">
        <v>0</v>
      </c>
      <c r="I1060" s="4" t="n">
        <v>291</v>
      </c>
      <c r="J1060" s="4" t="n">
        <v>88</v>
      </c>
      <c r="K1060" s="5" t="n">
        <v>1647.7</v>
      </c>
      <c r="L1060" s="4" t="n">
        <v>540</v>
      </c>
      <c r="M1060" s="4" t="n">
        <v>163</v>
      </c>
      <c r="N1060" s="5" t="n">
        <v>889.6</v>
      </c>
      <c r="O1060" s="3" t="inlineStr">
        <is>
          <t>초등학교,공립유치원이 내집앞에 위치해 있어요</t>
        </is>
      </c>
      <c r="P1060" s="6">
        <f>HYPERLINK("https://fin.land.naver.com/articles/2656439674",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오송2단지창조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95</v>
      </c>
      <c r="I1065" s="4" t="n">
        <v>0</v>
      </c>
      <c r="J1065" s="4" t="n">
        <v>0</v>
      </c>
      <c r="K1065" s="5" t="n">
        <v>0</v>
      </c>
      <c r="L1065" s="4" t="n">
        <v>54</v>
      </c>
      <c r="M1065" s="4" t="n">
        <v>16</v>
      </c>
      <c r="N1065" s="5" t="n">
        <v>5.9</v>
      </c>
      <c r="O1065" s="3" t="inlineStr">
        <is>
          <t>채광좋은 남향의 쓰리룸, 즉시입주가능</t>
        </is>
      </c>
      <c r="P1065" s="6">
        <f>HYPERLINK("https://fin.land.naver.com/articles/2651157258",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태원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100</v>
      </c>
      <c r="I1066" s="4" t="n">
        <v>79</v>
      </c>
      <c r="J1066" s="4" t="n">
        <v>24</v>
      </c>
      <c r="K1066" s="5" t="n">
        <v>4.2</v>
      </c>
      <c r="L1066" s="4" t="n">
        <v>54</v>
      </c>
      <c r="M1066" s="4" t="n">
        <v>16</v>
      </c>
      <c r="N1066" s="5" t="n">
        <v>6.2</v>
      </c>
      <c r="O1066" s="3" t="inlineStr">
        <is>
          <t>깨끗한고 예쁜 쓰리룸,큰길가위치</t>
        </is>
      </c>
      <c r="P1066" s="6">
        <f>HYPERLINK("https://fin.land.naver.com/articles/2651097157",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초,유,고등학교 인근, 높은 층고 넓고 쾌적한 주인세대, 옥탑,태양광있음</t>
        </is>
      </c>
      <c r="P1067" s="6">
        <f>HYPERLINK("https://fin.land.naver.com/articles/2651757753",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주변이 조용해서 거주하는 입주민들의 만족도가 좋은 건물</t>
        </is>
      </c>
      <c r="P1069" s="6">
        <f>HYPERLINK("https://fin.land.naver.com/articles/2654603695",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초등학교 앞 도로변 태양광설치 거주하기 좋은 입지</t>
        </is>
      </c>
      <c r="P1070" s="6">
        <f>HYPERLINK("https://fin.land.naver.com/articles/2655925559",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프렌즈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큰길가 투베이 뻥뷰 예쁜 투베이 빠른입주 가능</t>
        </is>
      </c>
      <c r="P1071" s="6">
        <f>HYPERLINK("https://fin.land.naver.com/articles/2653892183",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스케치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솔미초 앞 대로변,안전귀가, 예쁜 화이트톤 넓은 투베이,실거주 만족최고</t>
        </is>
      </c>
      <c r="P1072" s="6">
        <f>HYPERLINK("https://fin.land.naver.com/articles/2653139508",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오송바이오창조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83</v>
      </c>
      <c r="J1073" s="4" t="n">
        <v>25</v>
      </c>
      <c r="K1073" s="5" t="n">
        <v>2.2</v>
      </c>
      <c r="L1073" s="4" t="n">
        <v>30</v>
      </c>
      <c r="M1073" s="4" t="n">
        <v>9</v>
      </c>
      <c r="N1073" s="5" t="n">
        <v>6.2</v>
      </c>
      <c r="O1073" s="3" t="inlineStr">
        <is>
          <t>10월입주, 큰길가위치,예쁜 투베이</t>
        </is>
      </c>
      <c r="P1073" s="6">
        <f>HYPERLINK("https://fin.land.naver.com/articles/2652955071",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프로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6.2</v>
      </c>
      <c r="O1074" s="3" t="inlineStr">
        <is>
          <t>ㄸr봉 막힘업는 뷰에 깔끔하게 관리 잘된 풀옵션 투베이 채광좋음</t>
        </is>
      </c>
      <c r="P1074" s="6">
        <f>HYPERLINK("https://fin.land.naver.com/articles/2652841561",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전세</t>
        </is>
      </c>
      <c r="G1075" s="4" t="n">
        <v>15000</v>
      </c>
      <c r="H1075" s="4" t="n">
        <v>0</v>
      </c>
      <c r="I1075" s="4" t="n">
        <v>0</v>
      </c>
      <c r="J1075" s="4" t="n">
        <v>0</v>
      </c>
      <c r="K1075" s="5" t="n">
        <v>0</v>
      </c>
      <c r="L1075" s="4" t="n">
        <v>59</v>
      </c>
      <c r="M1075" s="4" t="n">
        <v>18</v>
      </c>
      <c r="N1075" s="5" t="n">
        <v>833.3</v>
      </c>
      <c r="O1075" s="3" t="inlineStr">
        <is>
          <t>각방 에어컨,쓰리룸 전세 , 시작하는 신혼부부 강력추천 매물, 풀옵션</t>
        </is>
      </c>
      <c r="P1075" s="6">
        <f>HYPERLINK("https://fin.land.naver.com/articles/2656100248",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매매</t>
        </is>
      </c>
      <c r="G1077" s="4" t="n">
        <v>160000</v>
      </c>
      <c r="H1077" s="4" t="n">
        <v>0</v>
      </c>
      <c r="I1077" s="4" t="n">
        <v>248</v>
      </c>
      <c r="J1077" s="4" t="n">
        <v>75</v>
      </c>
      <c r="K1077" s="5" t="n">
        <v>2133.3</v>
      </c>
      <c r="L1077" s="4" t="n">
        <v>495</v>
      </c>
      <c r="M1077" s="4" t="n">
        <v>150</v>
      </c>
      <c r="N1077" s="5" t="n">
        <v>1066.7</v>
      </c>
      <c r="O1077" s="3" t="inlineStr">
        <is>
          <t>코너건물 상가,주인세대 모두 사용가능한 매물</t>
        </is>
      </c>
      <c r="P1077" s="6">
        <f>HYPERLINK("https://fin.land.naver.com/articles/2652143311",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대지크기,월수익 압도적 1위 다가구주택</t>
        </is>
      </c>
      <c r="P1081" s="6">
        <f>HYPERLINK("https://fin.land.naver.com/articles/2651061009",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e복덕방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nan</t>
        </is>
      </c>
      <c r="P1082" s="6">
        <f>HYPERLINK("https://fin.land.naver.com/articles/2651801970",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월1천이상 신축단지 땅 제일 큰 상가주택, 초반짝반짝 새건물</t>
        </is>
      </c>
      <c r="P1083" s="6">
        <f>HYPERLINK("https://fin.land.naver.com/articles/2653989477",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오송2산단 다가구주택 매매</t>
        </is>
      </c>
      <c r="P1084" s="6">
        <f>HYPERLINK("https://fin.land.naver.com/articles/2653410221",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오송좋은날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500</v>
      </c>
      <c r="H1086" s="4" t="n">
        <v>60</v>
      </c>
      <c r="I1086" s="4" t="n">
        <v>0</v>
      </c>
      <c r="J1086" s="4" t="n">
        <v>0</v>
      </c>
      <c r="K1086" s="5" t="n">
        <v>0</v>
      </c>
      <c r="L1086" s="4" t="n">
        <v>24</v>
      </c>
      <c r="M1086" s="4" t="n">
        <v>7</v>
      </c>
      <c r="N1086" s="5" t="n">
        <v>8.6</v>
      </c>
      <c r="O1086" s="3" t="inlineStr">
        <is>
          <t>11월초 입주 가능, 공원 앞에 위치한 투베이,주차 편리한 위치</t>
        </is>
      </c>
      <c r="P1086" s="6">
        <f>HYPERLINK("https://fin.land.naver.com/articles/2654295939",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135000</v>
      </c>
      <c r="H1087" s="4" t="n">
        <v>0</v>
      </c>
      <c r="I1087" s="4" t="n">
        <v>280</v>
      </c>
      <c r="J1087" s="4" t="n">
        <v>85</v>
      </c>
      <c r="K1087" s="5" t="n">
        <v>1588.2</v>
      </c>
      <c r="L1087" s="4" t="n">
        <v>494</v>
      </c>
      <c r="M1087" s="4" t="n">
        <v>149</v>
      </c>
      <c r="N1087" s="5" t="n">
        <v>906</v>
      </c>
      <c r="O1087" s="3" t="inlineStr">
        <is>
          <t>한적한 주택가  매매가 강력추천 매물</t>
        </is>
      </c>
      <c r="P1087" s="6">
        <f>HYPERLINK("https://fin.land.naver.com/articles/2652989986",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오송1단지창조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1000</v>
      </c>
      <c r="H1088" s="4" t="n">
        <v>70</v>
      </c>
      <c r="I1088" s="4" t="n">
        <v>0</v>
      </c>
      <c r="J1088" s="4" t="n">
        <v>0</v>
      </c>
      <c r="K1088" s="5" t="n">
        <v>0</v>
      </c>
      <c r="L1088" s="4" t="n">
        <v>41</v>
      </c>
      <c r="M1088" s="4" t="n">
        <v>12</v>
      </c>
      <c r="N1088" s="5" t="n">
        <v>5.8</v>
      </c>
      <c r="O1088" s="3" t="inlineStr">
        <is>
          <t>주차 편리 조용한 주택가에 위치한 대형 투룸 월세,대형 붙박이장,풀옵</t>
        </is>
      </c>
      <c r="P1088" s="6">
        <f>HYPERLINK("https://fin.land.naver.com/articles/2653527284",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풀옵션 역세권  오송역KTX  도보 이용 가능 교통 교육 생활 인프라 굿</t>
        </is>
      </c>
      <c r="P1090" s="6">
        <f>HYPERLINK("https://fin.land.naver.com/articles/2651272857",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오송퍼스트영웅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상가주택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초등학교 유치원 인근, 임대완료, 건물구성 좋아요</t>
        </is>
      </c>
      <c r="P1092" s="6">
        <f>HYPERLINK("https://fin.land.naver.com/articles/2650881457",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6.6</v>
      </c>
      <c r="O1098" s="3" t="inlineStr">
        <is>
          <t>ㄸr봉 오송2산단 가성비 좋고 침대까지 갖춘 풀옵션 원룸</t>
        </is>
      </c>
      <c r="P1098" s="6">
        <f>HYPERLINK("https://fin.land.naver.com/articles/2652371093",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오송프렌즈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58</v>
      </c>
      <c r="J1099" s="4" t="n">
        <v>18</v>
      </c>
      <c r="K1099" s="5" t="n">
        <v>2.6</v>
      </c>
      <c r="L1099" s="4" t="n">
        <v>24</v>
      </c>
      <c r="M1099" s="4" t="n">
        <v>7</v>
      </c>
      <c r="N1099" s="5" t="n">
        <v>6.6</v>
      </c>
      <c r="O1099" s="3" t="inlineStr">
        <is>
          <t>원룸의 정석 , 군더더기없는 원룸</t>
        </is>
      </c>
      <c r="P1099" s="6">
        <f>HYPERLINK("https://fin.land.naver.com/articles/2652442632",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10000</v>
      </c>
      <c r="H1100" s="4" t="n">
        <v>20</v>
      </c>
      <c r="I1100" s="4" t="n">
        <v>144</v>
      </c>
      <c r="J1100" s="4" t="n">
        <v>44</v>
      </c>
      <c r="K1100" s="5" t="n">
        <v>0.5</v>
      </c>
      <c r="L1100" s="4" t="n">
        <v>49</v>
      </c>
      <c r="M1100" s="4" t="n">
        <v>15</v>
      </c>
      <c r="N1100" s="5" t="n">
        <v>1.3</v>
      </c>
      <c r="O1100" s="3" t="inlineStr">
        <is>
          <t>즉시 입주, 반전세 투룸</t>
        </is>
      </c>
      <c r="P1100" s="6">
        <f>HYPERLINK("https://fin.land.naver.com/articles/2655954588",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300</v>
      </c>
      <c r="H1101" s="4" t="n">
        <v>47</v>
      </c>
      <c r="I1101" s="4" t="n">
        <v>0</v>
      </c>
      <c r="J1101" s="4" t="n">
        <v>0</v>
      </c>
      <c r="K1101" s="5" t="n">
        <v>0</v>
      </c>
      <c r="L1101" s="4" t="n">
        <v>19</v>
      </c>
      <c r="M1101" s="4" t="n">
        <v>6</v>
      </c>
      <c r="N1101" s="5" t="n">
        <v>7.8</v>
      </c>
      <c r="O1101" s="3" t="inlineStr">
        <is>
          <t>빠른입주 가능한 깔끔한 신축 분리형 원룸 ,컨디션 좋아요</t>
        </is>
      </c>
      <c r="P1101" s="6">
        <f>HYPERLINK("https://fin.land.naver.com/articles/2653748913",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단독</t>
        </is>
      </c>
      <c r="F1102" s="3" t="inlineStr">
        <is>
          <t>월세</t>
        </is>
      </c>
      <c r="G1102" s="4" t="n">
        <v>2000</v>
      </c>
      <c r="H1102" s="4" t="n">
        <v>100</v>
      </c>
      <c r="I1102" s="4" t="n">
        <v>0</v>
      </c>
      <c r="J1102" s="4" t="n">
        <v>0</v>
      </c>
      <c r="K1102" s="5" t="n">
        <v>0</v>
      </c>
      <c r="L1102" s="4" t="n">
        <v>59</v>
      </c>
      <c r="M1102" s="4" t="n">
        <v>18</v>
      </c>
      <c r="N1102" s="5" t="n">
        <v>5.6</v>
      </c>
      <c r="O1102" s="3" t="inlineStr">
        <is>
          <t>쓰리룸 주인세대,필로티 주차장,수납력 짱짱인 매물,신혼부부,회사숙소 추천</t>
        </is>
      </c>
      <c r="P1102" s="6">
        <f>HYPERLINK("https://fin.land.naver.com/articles/2654903922",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2500</v>
      </c>
      <c r="H1103" s="4" t="n">
        <v>54</v>
      </c>
      <c r="I1103" s="4" t="n">
        <v>0</v>
      </c>
      <c r="J1103" s="4" t="n">
        <v>0</v>
      </c>
      <c r="K1103" s="5" t="n">
        <v>0</v>
      </c>
      <c r="L1103" s="4" t="n">
        <v>35</v>
      </c>
      <c r="M1103" s="4" t="n">
        <v>11</v>
      </c>
      <c r="N1103" s="5" t="n">
        <v>4.9</v>
      </c>
      <c r="O1103" s="3" t="inlineStr">
        <is>
          <t>ㄸr봉 26년 신축 깔끔하고 세련된 화이트톤   풀옵션 투베이</t>
        </is>
      </c>
      <c r="P1103" s="6">
        <f>HYPERLINK("https://fin.land.naver.com/articles/2651138467",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오송프렌즈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월세</t>
        </is>
      </c>
      <c r="G1104" s="4" t="n">
        <v>1000</v>
      </c>
      <c r="H1104" s="4" t="n">
        <v>57</v>
      </c>
      <c r="I1104" s="4" t="n">
        <v>148</v>
      </c>
      <c r="J1104" s="4" t="n">
        <v>45</v>
      </c>
      <c r="K1104" s="5" t="n">
        <v>1.3</v>
      </c>
      <c r="L1104" s="4" t="n">
        <v>35</v>
      </c>
      <c r="M1104" s="4" t="n">
        <v>11</v>
      </c>
      <c r="N1104" s="5" t="n">
        <v>5.2</v>
      </c>
      <c r="O1104" s="3" t="inlineStr">
        <is>
          <t>신축투베이 오송역세권으로 인프라좋고 주변편의시설확충 주차컨디션최고</t>
        </is>
      </c>
      <c r="P1104" s="6">
        <f>HYPERLINK("https://fin.land.naver.com/articles/2655832825",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하림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주인세대가 아주 넓고 햇살이 잘드는 코너건물의 장점이 많은 건물입니다</t>
        </is>
      </c>
      <c r="P1105" s="6">
        <f>HYPERLINK("https://fin.land.naver.com/articles/2654604656",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오송2단지창조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코너 각지 상가주택</t>
        </is>
      </c>
      <c r="P1106" s="6">
        <f>HYPERLINK("https://fin.land.naver.com/articles/2655538498",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오송1단지창조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165000</v>
      </c>
      <c r="H1107" s="4" t="n">
        <v>0</v>
      </c>
      <c r="I1107" s="4" t="n">
        <v>278</v>
      </c>
      <c r="J1107" s="4" t="n">
        <v>84</v>
      </c>
      <c r="K1107" s="5" t="n">
        <v>1964.3</v>
      </c>
      <c r="L1107" s="4" t="n">
        <v>488</v>
      </c>
      <c r="M1107" s="4" t="n">
        <v>148</v>
      </c>
      <c r="N1107" s="5" t="n">
        <v>1114.9</v>
      </c>
      <c r="O1107" s="3" t="inlineStr">
        <is>
          <t>건물 특징</t>
        </is>
      </c>
      <c r="P1107" s="6">
        <f>HYPERLINK("https://fin.land.naver.com/articles/2653146019",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오송궁평마을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단독</t>
        </is>
      </c>
      <c r="F1108" s="3" t="inlineStr">
        <is>
          <t>월세</t>
        </is>
      </c>
      <c r="G1108" s="4" t="n">
        <v>3000</v>
      </c>
      <c r="H1108" s="4" t="n">
        <v>100</v>
      </c>
      <c r="I1108" s="4" t="n">
        <v>119</v>
      </c>
      <c r="J1108" s="4" t="n">
        <v>36</v>
      </c>
      <c r="K1108" s="5" t="n">
        <v>2.8</v>
      </c>
      <c r="L1108" s="4" t="n">
        <v>101</v>
      </c>
      <c r="M1108" s="4" t="n">
        <v>31</v>
      </c>
      <c r="N1108" s="5" t="n">
        <v>3.2</v>
      </c>
      <c r="O1108" s="3" t="inlineStr">
        <is>
          <t>주인세대 신축건물로 오송역세권의 인프라좋고 주변편의시설확충 공원산책</t>
        </is>
      </c>
      <c r="P1108" s="6">
        <f>HYPERLINK("https://fin.land.naver.com/articles/2652811473",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하림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55</v>
      </c>
      <c r="I1111" s="4" t="n">
        <v>0</v>
      </c>
      <c r="J1111" s="4" t="n">
        <v>0</v>
      </c>
      <c r="K1111" s="5" t="n">
        <v>0</v>
      </c>
      <c r="L1111" s="4" t="n">
        <v>30</v>
      </c>
      <c r="M1111" s="4" t="n">
        <v>9</v>
      </c>
      <c r="N1111" s="5" t="n">
        <v>6.1</v>
      </c>
      <c r="O1111" s="3" t="inlineStr">
        <is>
          <t>즉시입주 가능공원 앞 깔끔한 신축 대형 투베이 월세</t>
        </is>
      </c>
      <c r="P1111" s="6">
        <f>HYPERLINK("https://fin.land.naver.com/articles/2655169080",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오송바이오창조</t>
        </is>
      </c>
      <c r="T1111" s="4" t="n">
        <v>3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0</v>
      </c>
      <c r="J1112" s="4" t="n">
        <v>0</v>
      </c>
      <c r="K1112" s="5" t="n">
        <v>0</v>
      </c>
      <c r="L1112" s="4" t="n">
        <v>25</v>
      </c>
      <c r="M1112" s="4" t="n">
        <v>8</v>
      </c>
      <c r="N1112" s="5" t="n">
        <v>7</v>
      </c>
      <c r="O1112" s="3" t="inlineStr">
        <is>
          <t>ㄸr봉  위치좋고 넓게 잘빠진 투베이</t>
        </is>
      </c>
      <c r="P1112" s="6">
        <f>HYPERLINK("https://fin.land.naver.com/articles/2655170514",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오송프렌즈</t>
        </is>
      </c>
      <c r="T1112" s="4" t="n">
        <v>1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현재 월 590만원 저렴한 수익형 상가주택</t>
        </is>
      </c>
      <c r="P1119" s="6">
        <f>HYPERLINK("https://fin.land.naver.com/articles/2655925510",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프렌즈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다가구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추천매물 수익율 좋은 관리가 아주 잘된 건물 입니다</t>
        </is>
      </c>
      <c r="P1120" s="6">
        <f>HYPERLINK("https://fin.land.naver.com/articles/2654016226",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오송역세권. 미래가치상승기대. 신축예쁜건물</t>
        </is>
      </c>
      <c r="P1121" s="6">
        <f>HYPERLINK("https://fin.land.naver.com/articles/2651055949",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노른자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월세668. 전층임대완료. 매수즉시 월세 수익 발생.</t>
        </is>
      </c>
      <c r="P1122" s="6">
        <f>HYPERLINK("https://fin.land.naver.com/articles/2654054125",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프로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273</v>
      </c>
      <c r="J1123" s="4" t="n">
        <v>83</v>
      </c>
      <c r="K1123" s="5" t="n">
        <v>1445.8</v>
      </c>
      <c r="L1123" s="4" t="n">
        <v>394</v>
      </c>
      <c r="M1123" s="4" t="n">
        <v>119</v>
      </c>
      <c r="N1123" s="5" t="n">
        <v>1008.4</v>
      </c>
      <c r="O1123" s="3" t="inlineStr">
        <is>
          <t>급매 오송역 도보거리 월 628만 수익가능</t>
        </is>
      </c>
      <c r="P1123" s="6">
        <f>HYPERLINK("https://fin.land.naver.com/articles/2656330729",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미래n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오송바이오제2산업단지,오송역ktx5분거리,임대완료</t>
        </is>
      </c>
      <c r="P1124" s="6">
        <f>HYPERLINK("https://fin.land.naver.com/articles/2656644904",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태원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722</v>
      </c>
      <c r="J1133" s="4" t="n">
        <v>218</v>
      </c>
      <c r="K1133" s="5" t="n">
        <v>385.3</v>
      </c>
      <c r="L1133" s="4" t="n">
        <v>169</v>
      </c>
      <c r="M1133" s="4" t="n">
        <v>51</v>
      </c>
      <c r="N1133" s="5" t="n">
        <v>1647.1</v>
      </c>
      <c r="O1133" s="3" t="inlineStr">
        <is>
          <t>총2필지매매 구옥이지만 집관리잘됨.</t>
        </is>
      </c>
      <c r="P1133" s="6">
        <f>HYPERLINK("https://fin.land.naver.com/articles/2654014410",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오송올래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382</v>
      </c>
      <c r="J1134" s="4" t="n">
        <v>116</v>
      </c>
      <c r="K1134" s="5" t="n">
        <v>724.1</v>
      </c>
      <c r="L1134" s="4" t="n">
        <v>109</v>
      </c>
      <c r="M1134" s="4" t="n">
        <v>33</v>
      </c>
      <c r="N1134" s="5" t="n">
        <v>2545.5</v>
      </c>
      <c r="O1134" s="3" t="inlineStr">
        <is>
          <t>마당에 예쁜 꽃들이 만발하는 단독주택 여러 가족이 함께 별도공간 거주가능</t>
        </is>
      </c>
      <c r="P1134" s="6">
        <f>HYPERLINK("https://fin.land.naver.com/articles/2654595676",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오송2단지창조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월세</t>
        </is>
      </c>
      <c r="G1140" s="4" t="n">
        <v>200</v>
      </c>
      <c r="H1140" s="4" t="n">
        <v>45</v>
      </c>
      <c r="I1140" s="4" t="n">
        <v>158</v>
      </c>
      <c r="J1140" s="4" t="n">
        <v>48</v>
      </c>
      <c r="K1140" s="5" t="n">
        <v>0.9</v>
      </c>
      <c r="L1140" s="4" t="n">
        <v>31</v>
      </c>
      <c r="M1140" s="4" t="n">
        <v>9</v>
      </c>
      <c r="N1140" s="5" t="n">
        <v>5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HYPERLINK("https://fin.land.naver.com/articles/2655195208",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매매</t>
        </is>
      </c>
      <c r="G1141" s="4" t="n">
        <v>24000</v>
      </c>
      <c r="H1141" s="4" t="n">
        <v>0</v>
      </c>
      <c r="I1141" s="4" t="n">
        <v>158</v>
      </c>
      <c r="J1141" s="4" t="n">
        <v>48</v>
      </c>
      <c r="K1141" s="5" t="n">
        <v>500</v>
      </c>
      <c r="L1141" s="4" t="n">
        <v>31</v>
      </c>
      <c r="M1141" s="4" t="n">
        <v>9</v>
      </c>
      <c r="N1141" s="5" t="n">
        <v>2666.7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HYPERLINK("https://fin.land.naver.com/articles/2655194734",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원룸이 많은 다가구주택.주인세대 관리잘됨.</t>
        </is>
      </c>
      <c r="P1153" s="6">
        <f>HYPERLINK("https://fin.land.naver.com/articles/2654895864",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72000</v>
      </c>
      <c r="H1154" s="4" t="n">
        <v>0</v>
      </c>
      <c r="I1154" s="4" t="n">
        <v>246</v>
      </c>
      <c r="J1154" s="4" t="n">
        <v>74</v>
      </c>
      <c r="K1154" s="5" t="n">
        <v>973</v>
      </c>
      <c r="L1154" s="4" t="n">
        <v>368</v>
      </c>
      <c r="M1154" s="4" t="n">
        <v>111</v>
      </c>
      <c r="N1154" s="5" t="n">
        <v>648.6</v>
      </c>
      <c r="O1154" s="3" t="inlineStr">
        <is>
          <t>안정적인 수익율과 직접 거주도 할수 있는 세대 구성을 가진 건물 입니다</t>
        </is>
      </c>
      <c r="P1154" s="6">
        <f>HYPERLINK("https://fin.land.naver.com/articles/2654604943",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오송2단지창조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73000</v>
      </c>
      <c r="H1155" s="4" t="n">
        <v>0</v>
      </c>
      <c r="I1155" s="4" t="n">
        <v>246</v>
      </c>
      <c r="J1155" s="4" t="n">
        <v>74</v>
      </c>
      <c r="K1155" s="5" t="n">
        <v>986.5</v>
      </c>
      <c r="L1155" s="4" t="n">
        <v>368</v>
      </c>
      <c r="M1155" s="4" t="n">
        <v>111</v>
      </c>
      <c r="N1155" s="5" t="n">
        <v>657.7</v>
      </c>
      <c r="O1155" s="3" t="inlineStr">
        <is>
          <t>산업단지 개발로 임대수요 풍부한 오송1산단 다가구</t>
        </is>
      </c>
      <c r="P1155" s="6">
        <f>HYPERLINK("https://fin.land.naver.com/articles/2655539920",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오송1단지창조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전세</t>
        </is>
      </c>
      <c r="G1172" s="4" t="n">
        <v>8000</v>
      </c>
      <c r="H1172" s="4" t="n">
        <v>0</v>
      </c>
      <c r="I1172" s="4" t="n">
        <v>73</v>
      </c>
      <c r="J1172" s="4" t="n">
        <v>22</v>
      </c>
      <c r="K1172" s="5" t="n">
        <v>363.6</v>
      </c>
      <c r="L1172" s="4" t="n">
        <v>73</v>
      </c>
      <c r="M1172" s="4" t="n">
        <v>22</v>
      </c>
      <c r="N1172" s="5" t="n">
        <v>363.6</v>
      </c>
      <c r="O1172" s="3" t="inlineStr">
        <is>
          <t>오랫된 구옥이며 마당에 야채 심을 수 있어요.</t>
        </is>
      </c>
      <c r="P1172" s="6">
        <f>HYPERLINK("https://fin.land.naver.com/articles/2651265798",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이순이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34000</v>
      </c>
      <c r="H1173" s="4" t="n">
        <v>0</v>
      </c>
      <c r="I1173" s="4" t="n">
        <v>268</v>
      </c>
      <c r="J1173" s="4" t="n">
        <v>81</v>
      </c>
      <c r="K1173" s="5" t="n">
        <v>419.8</v>
      </c>
      <c r="L1173" s="4" t="n">
        <v>73</v>
      </c>
      <c r="M1173" s="4" t="n">
        <v>22</v>
      </c>
      <c r="N1173" s="5" t="n">
        <v>1545.5</v>
      </c>
      <c r="O1173" s="3" t="inlineStr">
        <is>
          <t>오송3산단 인근 정중리 도로변 옆 단독주택 즉시입주. 전세도 가능.</t>
        </is>
      </c>
      <c r="P1173" s="6">
        <f>HYPERLINK("https://fin.land.naver.com/articles/2651858414",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세종대장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679</v>
      </c>
      <c r="J1177" s="4" t="n">
        <v>205</v>
      </c>
      <c r="K1177" s="5" t="n">
        <v>536.6</v>
      </c>
      <c r="L1177" s="4" t="n">
        <v>282</v>
      </c>
      <c r="M1177" s="4" t="n">
        <v>85</v>
      </c>
      <c r="N1177" s="5" t="n">
        <v>1294.1</v>
      </c>
      <c r="O1177" s="3" t="inlineStr">
        <is>
          <t>대지 매우 큰 상가주택, 1층 음식점 카페 주택 I 행복도심 바로 인</t>
        </is>
      </c>
      <c r="P1177" s="6">
        <f>HYPERLINK("https://fin.land.naver.com/articles/2655033674",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1193</v>
      </c>
      <c r="J1178" s="4" t="n">
        <v>361</v>
      </c>
      <c r="K1178" s="5" t="n">
        <v>304.7</v>
      </c>
      <c r="L1178" s="4" t="n">
        <v>282</v>
      </c>
      <c r="M1178" s="4" t="n">
        <v>85</v>
      </c>
      <c r="N1178" s="5" t="n">
        <v>1294.1</v>
      </c>
      <c r="O1178" s="3" t="inlineStr">
        <is>
          <t>영상정보대 입구 2차선 도로와 연접한 위치의 상가주택 대형 주차장</t>
        </is>
      </c>
      <c r="P1178" s="6">
        <f>HYPERLINK("https://fin.land.naver.com/articles/2650884237",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세종공주원탑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금암리 귀한 주택. 전화주셔요</t>
        </is>
      </c>
      <c r="P1188" s="6">
        <f>HYPERLINK("https://fin.land.naver.com/articles/2652834506",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최무연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청벽마을 청벽의 절경 금강 뷰 최상, 아담한 태양열 전원주택,가격조정가능</t>
        </is>
      </c>
      <c r="P1189" s="6">
        <f>HYPERLINK("https://fin.land.naver.com/articles/2653220866",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고운맘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150000</v>
      </c>
      <c r="H1193" s="4" t="n">
        <v>0</v>
      </c>
      <c r="I1193" s="4" t="n">
        <v>495</v>
      </c>
      <c r="J1193" s="4" t="n">
        <v>150</v>
      </c>
      <c r="K1193" s="5" t="n">
        <v>1000</v>
      </c>
      <c r="L1193" s="4" t="n">
        <v>368</v>
      </c>
      <c r="M1193" s="4" t="n">
        <v>111</v>
      </c>
      <c r="N1193" s="5" t="n">
        <v>1351.4</v>
      </c>
      <c r="O1193" s="3" t="inlineStr">
        <is>
          <t>금강방향전망최고,갤러리처럼 이쁘고 멋지게 건축한집</t>
        </is>
      </c>
      <c r="P1193" s="6">
        <f>HYPERLINK("https://fin.land.naver.com/articles/2655842961",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뉴평화2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169000</v>
      </c>
      <c r="H1194" s="4" t="n">
        <v>0</v>
      </c>
      <c r="I1194" s="4" t="n">
        <v>495</v>
      </c>
      <c r="J1194" s="4" t="n">
        <v>150</v>
      </c>
      <c r="K1194" s="5" t="n">
        <v>1126.7</v>
      </c>
      <c r="L1194" s="4" t="n">
        <v>368</v>
      </c>
      <c r="M1194" s="4" t="n">
        <v>111</v>
      </c>
      <c r="N1194" s="5" t="n">
        <v>1522.5</v>
      </c>
      <c r="O1194" s="3" t="inlineStr">
        <is>
          <t>앞에는 금강뷰가 환상적인 단독주택,뒤에는 산조망권</t>
        </is>
      </c>
      <c r="P1194" s="6">
        <f>HYPERLINK("https://fin.land.naver.com/articles/2653123650",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다산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전원주택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585</v>
      </c>
      <c r="J1195" s="4" t="n">
        <v>177</v>
      </c>
      <c r="K1195" s="5" t="n">
        <v>847.5</v>
      </c>
      <c r="L1195" s="4" t="n">
        <v>230</v>
      </c>
      <c r="M1195" s="4" t="n">
        <v>70</v>
      </c>
      <c r="N1195" s="5" t="n">
        <v>2142.9</v>
      </c>
      <c r="O1195" s="3" t="inlineStr">
        <is>
          <t>예쁜 2층 주택, 금강뷰, 펜션, 월세</t>
        </is>
      </c>
      <c r="P1195" s="6">
        <f>HYPERLINK("https://fin.land.naver.com/articles/2655013472",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한뜰금빛</t>
        </is>
      </c>
      <c r="T1195" s="4" t="n">
        <v>1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96</v>
      </c>
      <c r="J1196" s="4" t="n">
        <v>29</v>
      </c>
      <c r="K1196" s="5" t="n">
        <v>862.1</v>
      </c>
      <c r="L1196" s="4" t="n">
        <v>96</v>
      </c>
      <c r="M1196" s="4" t="n">
        <v>29</v>
      </c>
      <c r="N1196" s="5" t="n">
        <v>862.1</v>
      </c>
      <c r="O1196" s="3" t="inlineStr">
        <is>
          <t>전원주택 1층 무융자 전세</t>
        </is>
      </c>
      <c r="P1196" s="6">
        <f>HYPERLINK("https://fin.land.naver.com/articles/2654519341",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THE행복</t>
        </is>
      </c>
      <c r="T1196" s="4" t="n">
        <v>2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0</v>
      </c>
      <c r="J1198" s="4" t="n">
        <v>0</v>
      </c>
      <c r="K1198" s="5" t="n">
        <v>0</v>
      </c>
      <c r="L1198" s="4" t="n">
        <v>187</v>
      </c>
      <c r="M1198" s="4" t="n">
        <v>57</v>
      </c>
      <c r="N1198" s="5" t="n">
        <v>438.6</v>
      </c>
      <c r="O1198" s="3" t="inlineStr">
        <is>
          <t>명성공인, 2층 중 1층만 사용, 금암리 주택 전세 추천 매물</t>
        </is>
      </c>
      <c r="P1198" s="6">
        <f>HYPERLINK("https://fin.land.naver.com/articles/2651701640",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명성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장군면 마당이 예쁜 단독주택, 주차가능</t>
        </is>
      </c>
      <c r="P1200" s="6">
        <f>HYPERLINK("https://fin.land.naver.com/articles/2655846056",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명진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세종시 전망 최고의 뷰를 자랑하는 전원 주택</t>
        </is>
      </c>
      <c r="P1202" s="6">
        <f>HYPERLINK("https://fin.land.naver.com/articles/2655978084",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상상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42000</v>
      </c>
      <c r="H1205" s="4" t="n">
        <v>0</v>
      </c>
      <c r="I1205" s="4" t="n">
        <v>223</v>
      </c>
      <c r="J1205" s="4" t="n">
        <v>67</v>
      </c>
      <c r="K1205" s="5" t="n">
        <v>626.9</v>
      </c>
      <c r="L1205" s="4" t="n">
        <v>122</v>
      </c>
      <c r="M1205" s="4" t="n">
        <v>37</v>
      </c>
      <c r="N1205" s="5" t="n">
        <v>1135.1</v>
      </c>
      <c r="O1205" s="3" t="inlineStr">
        <is>
          <t>전원생활의 로망을 생활권가까이로, 접근성과 효율성좋은 주택, 실입주가</t>
        </is>
      </c>
      <c r="P1205" s="6">
        <f>HYPERLINK("https://fin.land.naver.com/articles/2652908549",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세종복댕이</t>
        </is>
      </c>
      <c r="T1205" s="4" t="n">
        <v>1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 저렴한장군면단독주택입니다.</t>
        </is>
      </c>
      <c r="P1206" s="6">
        <f>HYPERLINK("https://fin.land.naver.com/articles/2654260371",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새롬스마트</t>
        </is>
      </c>
      <c r="T1206" s="4" t="n">
        <v>2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223</v>
      </c>
      <c r="J1207" s="4" t="n">
        <v>67</v>
      </c>
      <c r="K1207" s="5" t="n">
        <v>656.7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HYPERLINK("https://fin.land.naver.com/articles/2651742228",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45000</v>
      </c>
      <c r="H1208" s="4" t="n">
        <v>0</v>
      </c>
      <c r="I1208" s="4" t="n">
        <v>223</v>
      </c>
      <c r="J1208" s="4" t="n">
        <v>67</v>
      </c>
      <c r="K1208" s="5" t="n">
        <v>671.6</v>
      </c>
      <c r="L1208" s="4" t="n">
        <v>122</v>
      </c>
      <c r="M1208" s="4" t="n">
        <v>37</v>
      </c>
      <c r="N1208" s="5" t="n">
        <v>1216.2</v>
      </c>
      <c r="O1208" s="3" t="inlineStr">
        <is>
          <t>공실,가격조절가,시스템냉방기6대,친환경자재,친환경에너지 적용, 잔디마당</t>
        </is>
      </c>
      <c r="P1208" s="6">
        <f>HYPERLINK("https://fin.land.naver.com/articles/2651518935",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만땅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입주협의세종시와5분거리 도심형전원주택 가격조정가능</t>
        </is>
      </c>
      <c r="P1209" s="6">
        <f>HYPERLINK("https://fin.land.naver.com/articles/2654963196",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세종시토지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44000</v>
      </c>
      <c r="H1210" s="4" t="n">
        <v>0</v>
      </c>
      <c r="I1210" s="4" t="n">
        <v>263</v>
      </c>
      <c r="J1210" s="4" t="n">
        <v>80</v>
      </c>
      <c r="K1210" s="5" t="n">
        <v>550</v>
      </c>
      <c r="L1210" s="4" t="n">
        <v>122</v>
      </c>
      <c r="M1210" s="4" t="n">
        <v>37</v>
      </c>
      <c r="N1210" s="5" t="n">
        <v>1189.2</v>
      </c>
      <c r="O1210" s="3" t="inlineStr">
        <is>
          <t>월세낀 급매,제로에너지 타운하우스,테라스,정원마당</t>
        </is>
      </c>
      <c r="P1210" s="6">
        <f>HYPERLINK("https://fin.land.naver.com/articles/2651742264",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고운맘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난방비 걱정없는 친환경 주택, 시스템냉방기, 전망좋고 저렴한 전원주택</t>
        </is>
      </c>
      <c r="P1211" s="6">
        <f>HYPERLINK("https://fin.land.naver.com/articles/2651520256",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만땅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23</v>
      </c>
      <c r="J1212" s="4" t="n">
        <v>7</v>
      </c>
      <c r="K1212" s="5" t="n">
        <v>4</v>
      </c>
      <c r="L1212" s="4" t="n">
        <v>21</v>
      </c>
      <c r="M1212" s="4" t="n">
        <v>6</v>
      </c>
      <c r="N1212" s="5" t="n">
        <v>4.7</v>
      </c>
      <c r="O1212" s="3" t="inlineStr">
        <is>
          <t>특A급 방 저렴하게 나왔어요 고운동과 가까운 원룸</t>
        </is>
      </c>
      <c r="P1212" s="6">
        <f>HYPERLINK("https://fin.land.naver.com/articles/2656328026",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00힐링,힐링 남향,화장실 창문  청사인접,공주,서세종IC근교 00</t>
        </is>
      </c>
      <c r="P1213" s="6">
        <f>HYPERLINK("https://fin.land.naver.com/articles/2656003259",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nan</t>
        </is>
      </c>
      <c r="P1215" s="6">
        <f>HYPERLINK("https://fin.land.naver.com/articles/2652677478",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새땅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고운동 5분 거리에 위치한 조용한 전원 주택입니다</t>
        </is>
      </c>
      <c r="P1217" s="6">
        <f>HYPERLINK("https://fin.land.naver.com/articles/2654678521",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세종공주원탑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24</v>
      </c>
      <c r="M1219" s="4" t="n">
        <v>7</v>
      </c>
      <c r="N1219" s="5" t="n">
        <v>4.1</v>
      </c>
      <c r="O1219" s="3" t="inlineStr">
        <is>
          <t>특A급 방 저렴하게 나왔어요 고운동과 가까운 원룸</t>
        </is>
      </c>
      <c r="P1219" s="6">
        <f>HYPERLINK("https://fin.land.naver.com/articles/2656666186",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20</v>
      </c>
      <c r="M1220" s="4" t="n">
        <v>6</v>
      </c>
      <c r="N1220" s="5" t="n">
        <v>4.8</v>
      </c>
      <c r="O1220" s="3" t="inlineStr">
        <is>
          <t>000주방 분리형 고운동 인접000</t>
        </is>
      </c>
      <c r="P1220" s="6">
        <f>HYPERLINK("https://fin.land.naver.com/articles/2656649170",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177</v>
      </c>
      <c r="J1225" s="4" t="n">
        <v>54</v>
      </c>
      <c r="K1225" s="5" t="n">
        <v>463</v>
      </c>
      <c r="L1225" s="4" t="n">
        <v>102</v>
      </c>
      <c r="M1225" s="4" t="n">
        <v>31</v>
      </c>
      <c r="N1225" s="5" t="n">
        <v>806.5</v>
      </c>
      <c r="O1225" s="3" t="inlineStr">
        <is>
          <t>장군면 대교리 전원주택 매매</t>
        </is>
      </c>
      <c r="P1225" s="6">
        <f>HYPERLINK("https://fin.land.naver.com/articles/2654997402",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다모아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27000</v>
      </c>
      <c r="H1227" s="4" t="n">
        <v>0</v>
      </c>
      <c r="I1227" s="4" t="n">
        <v>177</v>
      </c>
      <c r="J1227" s="4" t="n">
        <v>54</v>
      </c>
      <c r="K1227" s="5" t="n">
        <v>500</v>
      </c>
      <c r="L1227" s="4" t="n">
        <v>102</v>
      </c>
      <c r="M1227" s="4" t="n">
        <v>31</v>
      </c>
      <c r="N1227" s="5" t="n">
        <v>871</v>
      </c>
      <c r="O1227" s="3" t="inlineStr">
        <is>
          <t>텃밭있는 타운하우스, 태양광설치로  전기세절약,  상수도설치함.</t>
        </is>
      </c>
      <c r="P1227" s="6">
        <f>HYPERLINK("https://fin.land.naver.com/articles/2651514533",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Home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24</v>
      </c>
      <c r="J1236" s="4" t="n">
        <v>7</v>
      </c>
      <c r="K1236" s="5" t="n">
        <v>3.9</v>
      </c>
      <c r="L1236" s="4" t="n">
        <v>20</v>
      </c>
      <c r="M1236" s="4" t="n">
        <v>6</v>
      </c>
      <c r="N1236" s="5" t="n">
        <v>4.5</v>
      </c>
      <c r="O1236" s="3" t="inlineStr">
        <is>
          <t>000 착한임대료 조용한 원룸 수납최고 000</t>
        </is>
      </c>
      <c r="P1236" s="6">
        <f>HYPERLINK("https://fin.land.naver.com/articles/2654364978",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20</v>
      </c>
      <c r="J1237" s="4" t="n">
        <v>6</v>
      </c>
      <c r="K1237" s="5" t="n">
        <v>4.5</v>
      </c>
      <c r="L1237" s="4" t="n">
        <v>19</v>
      </c>
      <c r="M1237" s="4" t="n">
        <v>6</v>
      </c>
      <c r="N1237" s="5" t="n">
        <v>4.5</v>
      </c>
      <c r="O1237" s="3" t="inlineStr">
        <is>
          <t>세종 최저 저렴이 원룸 빌트인장 수납공간많고 싸게 딱 좋아</t>
        </is>
      </c>
      <c r="P1237" s="6">
        <f>HYPERLINK("https://fin.land.naver.com/articles/2654408385",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단기임대</t>
        </is>
      </c>
      <c r="G1238" s="4" t="n">
        <v>100</v>
      </c>
      <c r="H1238" s="4" t="n">
        <v>27</v>
      </c>
      <c r="I1238" s="4" t="n">
        <v>24</v>
      </c>
      <c r="J1238" s="4" t="n">
        <v>7</v>
      </c>
      <c r="K1238" s="5" t="n">
        <v>14.3</v>
      </c>
      <c r="L1238" s="4" t="n">
        <v>20</v>
      </c>
      <c r="M1238" s="4" t="n">
        <v>6</v>
      </c>
      <c r="N1238" s="5" t="n">
        <v>16.7</v>
      </c>
      <c r="O1238" s="3" t="inlineStr">
        <is>
          <t>000 저렴  수납좋은 원룸 000</t>
        </is>
      </c>
      <c r="P1238" s="6">
        <f>HYPERLINK("https://fin.land.naver.com/articles/2655235328",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추천추천 저렴  수납좋은 원룸 000</t>
        </is>
      </c>
      <c r="P1239" s="6">
        <f>HYPERLINK("https://fin.land.naver.com/articles/2655615423",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27</v>
      </c>
      <c r="I1240" s="4" t="n">
        <v>22</v>
      </c>
      <c r="J1240" s="4" t="n">
        <v>7</v>
      </c>
      <c r="K1240" s="5" t="n">
        <v>3.9</v>
      </c>
      <c r="L1240" s="4" t="n">
        <v>20</v>
      </c>
      <c r="M1240" s="4" t="n">
        <v>6</v>
      </c>
      <c r="N1240" s="5" t="n">
        <v>4.5</v>
      </c>
      <c r="O1240" s="3" t="inlineStr">
        <is>
          <t>세종 최저 저렴이 원룸 빌트인장 수납공간 싸게 딱 좋아</t>
        </is>
      </c>
      <c r="P1240" s="6">
        <f>HYPERLINK("https://fin.land.naver.com/articles/2655244712",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장기초근접, 작은텃밭과 마당,채광이 잘 드는집,</t>
        </is>
      </c>
      <c r="P1260" s="6">
        <f>HYPERLINK("https://fin.land.naver.com/articles/2656160748",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담뜰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막힘없는 정남향 도로접한 계획관리지역 마당정원과 텃밭,가격조정가능</t>
        </is>
      </c>
      <c r="P1261" s="6">
        <f>HYPERLINK("https://fin.land.naver.com/articles/2656008461",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고운맘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23</v>
      </c>
      <c r="J1263" s="4" t="n">
        <v>7</v>
      </c>
      <c r="K1263" s="5" t="n">
        <v>3.6</v>
      </c>
      <c r="L1263" s="4" t="n">
        <v>20</v>
      </c>
      <c r="M1263" s="4" t="n">
        <v>6</v>
      </c>
      <c r="N1263" s="5" t="n">
        <v>4.2</v>
      </c>
      <c r="O1263" s="3" t="inlineStr">
        <is>
          <t>000  세종시 아주 착한 월세 000</t>
        </is>
      </c>
      <c r="P1263" s="6">
        <f>HYPERLINK("https://fin.land.naver.com/articles/2655101545",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신황제</t>
        </is>
      </c>
      <c r="T1263" s="4" t="n">
        <v>2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20</v>
      </c>
      <c r="J1264" s="4" t="n">
        <v>6</v>
      </c>
      <c r="K1264" s="5" t="n">
        <v>4.2</v>
      </c>
      <c r="L1264" s="4" t="n">
        <v>17</v>
      </c>
      <c r="M1264" s="4" t="n">
        <v>5</v>
      </c>
      <c r="N1264" s="5" t="n">
        <v>5</v>
      </c>
      <c r="O1264" s="3" t="inlineStr">
        <is>
          <t>버스정류장앞,세종시 최고 저렴한 원룸 세종청사10분거리</t>
        </is>
      </c>
      <c r="P1264" s="6">
        <f>HYPERLINK("https://fin.land.naver.com/articles/2655109393",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HYPERLINK("https://fin.land.naver.com/articles/2653873286",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22</v>
      </c>
      <c r="J1266" s="4" t="n">
        <v>7</v>
      </c>
      <c r="K1266" s="5" t="n">
        <v>3.6</v>
      </c>
      <c r="L1266" s="4" t="n">
        <v>20</v>
      </c>
      <c r="M1266" s="4" t="n">
        <v>6</v>
      </c>
      <c r="N1266" s="5" t="n">
        <v>4.2</v>
      </c>
      <c r="O1266" s="3" t="inlineStr">
        <is>
          <t>000  조용한 저렴 원룸  000</t>
        </is>
      </c>
      <c r="P1266" s="6">
        <f>HYPERLINK("https://fin.land.naver.com/articles/2653561757",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20</v>
      </c>
      <c r="J1267" s="4" t="n">
        <v>6</v>
      </c>
      <c r="K1267" s="5" t="n">
        <v>4.2</v>
      </c>
      <c r="L1267" s="4" t="n">
        <v>17</v>
      </c>
      <c r="M1267" s="4" t="n">
        <v>5</v>
      </c>
      <c r="N1267" s="5" t="n">
        <v>5</v>
      </c>
      <c r="O1267" s="3" t="inlineStr">
        <is>
          <t>버스정류장앞,세종시 최고 저렴한 원룸 세종청사10분거리</t>
        </is>
      </c>
      <c r="P1267" s="6">
        <f>HYPERLINK("https://fin.land.naver.com/articles/2653567657",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24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HYPERLINK("https://fin.land.naver.com/articles/2653841664",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전원주택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도계리 전원주택 , 조망권 최상</t>
        </is>
      </c>
      <c r="P1277" s="6">
        <f>HYPERLINK("https://fin.land.naver.com/articles/2651916189",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THE다온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단독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nan</t>
        </is>
      </c>
      <c r="P1278" s="6">
        <f>HYPERLINK("https://fin.land.naver.com/articles/2654330580",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링크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급매,도계리 조망권 뷰 최상의  벙커형 파인빌리지 태양열 전원주택</t>
        </is>
      </c>
      <c r="P1279" s="6">
        <f>HYPERLINK("https://fin.land.naver.com/articles/2656627523",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고운맘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전원주택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HYPERLINK("https://fin.land.naver.com/articles/2655708436",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2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단독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유럽식목조기와주택,2층 계곡인접한 전원 단독주택</t>
        </is>
      </c>
      <c r="P1396" s="6">
        <f>HYPERLINK("https://fin.land.naver.com/articles/2651403827",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세종대박</t>
        </is>
      </c>
      <c r="T1396" s="4" t="n">
        <v>1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140000</v>
      </c>
      <c r="H1414" s="4" t="n">
        <v>0</v>
      </c>
      <c r="I1414" s="4" t="n">
        <v>396</v>
      </c>
      <c r="J1414" s="4" t="n">
        <v>120</v>
      </c>
      <c r="K1414" s="5" t="n">
        <v>1166.7</v>
      </c>
      <c r="L1414" s="4" t="n">
        <v>616</v>
      </c>
      <c r="M1414" s="4" t="n">
        <v>186</v>
      </c>
      <c r="N1414" s="5" t="n">
        <v>752.7</v>
      </c>
      <c r="O1414" s="3" t="inlineStr">
        <is>
          <t>nan</t>
        </is>
      </c>
      <c r="P1414" s="6">
        <f>HYPERLINK("https://fin.land.naver.com/articles/2654810818",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효자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150000</v>
      </c>
      <c r="H1415" s="4" t="n">
        <v>0</v>
      </c>
      <c r="I1415" s="4" t="n">
        <v>396</v>
      </c>
      <c r="J1415" s="4" t="n">
        <v>120</v>
      </c>
      <c r="K1415" s="5" t="n">
        <v>1250</v>
      </c>
      <c r="L1415" s="4" t="n">
        <v>616</v>
      </c>
      <c r="M1415" s="4" t="n">
        <v>186</v>
      </c>
      <c r="N1415" s="5" t="n">
        <v>806.5</v>
      </c>
      <c r="O1415" s="3" t="inlineStr">
        <is>
          <t>상가주택, 2가구, 상가임대1, 가격조정가능, 주차가능</t>
        </is>
      </c>
      <c r="P1415" s="6">
        <f>HYPERLINK("https://fin.land.naver.com/articles/2650985563",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엄마와딸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39</v>
      </c>
      <c r="J1434" s="4" t="n">
        <v>12</v>
      </c>
      <c r="K1434" s="5" t="n">
        <v>2.5</v>
      </c>
      <c r="L1434" s="4" t="n">
        <v>26</v>
      </c>
      <c r="M1434" s="4" t="n">
        <v>8</v>
      </c>
      <c r="N1434" s="5" t="n">
        <v>3.8</v>
      </c>
      <c r="O1434" s="3" t="inlineStr">
        <is>
          <t>남향 조치원시내권도보거리 주차시설완비 완벽풀옵션</t>
        </is>
      </c>
      <c r="P1434" s="6">
        <f>HYPERLINK("https://fin.land.naver.com/articles/2652366588",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20</v>
      </c>
      <c r="J1435" s="4" t="n">
        <v>6</v>
      </c>
      <c r="K1435" s="5" t="n">
        <v>5</v>
      </c>
      <c r="L1435" s="4" t="n">
        <v>20</v>
      </c>
      <c r="M1435" s="4" t="n">
        <v>6</v>
      </c>
      <c r="N1435" s="5" t="n">
        <v>5</v>
      </c>
      <c r="O1435" s="3" t="inlineStr">
        <is>
          <t>원룸 남향  조치원역 도보가능합니다</t>
        </is>
      </c>
      <c r="P1435" s="6">
        <f>HYPERLINK("https://fin.land.naver.com/articles/2653495764",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100</v>
      </c>
      <c r="H1436" s="4" t="n">
        <v>23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3.8</v>
      </c>
      <c r="O1436" s="3" t="inlineStr">
        <is>
          <t>남리 버스정류장 가까운 위치</t>
        </is>
      </c>
      <c r="P1436" s="6">
        <f>HYPERLINK("https://fin.land.naver.com/articles/2654005712",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45</v>
      </c>
      <c r="I1454" s="4" t="n">
        <v>52</v>
      </c>
      <c r="J1454" s="4" t="n">
        <v>16</v>
      </c>
      <c r="K1454" s="5" t="n">
        <v>2.8</v>
      </c>
      <c r="L1454" s="4" t="n">
        <v>42</v>
      </c>
      <c r="M1454" s="4" t="n">
        <v>13</v>
      </c>
      <c r="N1454" s="5" t="n">
        <v>3.5</v>
      </c>
      <c r="O1454" s="3" t="inlineStr">
        <is>
          <t>조치원역,시장 10분거리, 투룸,엘리베이터O,먹자골목위치,채광환기짱</t>
        </is>
      </c>
      <c r="P1454" s="6">
        <f>HYPERLINK("https://fin.land.naver.com/articles/2651743053",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오송메카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500</v>
      </c>
      <c r="H1455" s="4" t="n">
        <v>45</v>
      </c>
      <c r="I1455" s="4" t="n">
        <v>49</v>
      </c>
      <c r="J1455" s="4" t="n">
        <v>15</v>
      </c>
      <c r="K1455" s="5" t="n">
        <v>3</v>
      </c>
      <c r="L1455" s="4" t="n">
        <v>42</v>
      </c>
      <c r="M1455" s="4" t="n">
        <v>13</v>
      </c>
      <c r="N1455" s="5" t="n">
        <v>3.5</v>
      </c>
      <c r="O1455" s="3" t="inlineStr">
        <is>
          <t>저렴하고 넓은 투룸O엘리베이터O전용주차장O가전제품완비</t>
        </is>
      </c>
      <c r="P1455" s="6">
        <f>HYPERLINK("https://fin.land.naver.com/articles/2655636417",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39</v>
      </c>
      <c r="J1462" s="4" t="n">
        <v>12</v>
      </c>
      <c r="K1462" s="5" t="n">
        <v>2.5</v>
      </c>
      <c r="L1462" s="4" t="n">
        <v>23</v>
      </c>
      <c r="M1462" s="4" t="n">
        <v>7</v>
      </c>
      <c r="N1462" s="5" t="n">
        <v>4.3</v>
      </c>
      <c r="O1462" s="3" t="inlineStr">
        <is>
          <t>채광좋은 배란다 아주 크고 깨끗한 방</t>
        </is>
      </c>
      <c r="P1462" s="6">
        <f>HYPERLINK("https://fin.land.naver.com/articles/2654582313",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200</v>
      </c>
      <c r="H1463" s="4" t="n">
        <v>31</v>
      </c>
      <c r="I1463" s="4" t="n">
        <v>26</v>
      </c>
      <c r="J1463" s="4" t="n">
        <v>8</v>
      </c>
      <c r="K1463" s="5" t="n">
        <v>3.9</v>
      </c>
      <c r="L1463" s="4" t="n">
        <v>26</v>
      </c>
      <c r="M1463" s="4" t="n">
        <v>8</v>
      </c>
      <c r="N1463" s="5" t="n">
        <v>3.9</v>
      </c>
      <c r="O1463" s="3" t="inlineStr">
        <is>
          <t>조치원 시내이며, 재래시장, 초등학교인근이며, 오송과 인접함</t>
        </is>
      </c>
      <c r="P1463" s="6">
        <f>HYPERLINK("https://fin.land.naver.com/articles/2651504477",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세종베스트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31</v>
      </c>
      <c r="I1465" s="4" t="n">
        <v>22</v>
      </c>
      <c r="J1465" s="4" t="n">
        <v>7</v>
      </c>
      <c r="K1465" s="5" t="n">
        <v>4.4</v>
      </c>
      <c r="L1465" s="4" t="n">
        <v>16</v>
      </c>
      <c r="M1465" s="4" t="n">
        <v>5</v>
      </c>
      <c r="N1465" s="5" t="n">
        <v>6.2</v>
      </c>
      <c r="O1465" s="3" t="inlineStr">
        <is>
          <t>조치원역 도보5분 풀옵션 넓은방</t>
        </is>
      </c>
      <c r="P1465" s="6">
        <f>HYPERLINK("https://fin.land.naver.com/articles/2655835826",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용죽부자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도시형생활주택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남리 원룸 전통시장 조치원역 도보가능합니다</t>
        </is>
      </c>
      <c r="P1467" s="6">
        <f>HYPERLINK("https://fin.land.naver.com/articles/2656391471",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30</v>
      </c>
      <c r="I1469" s="4" t="n">
        <v>0</v>
      </c>
      <c r="J1469" s="4" t="n">
        <v>0</v>
      </c>
      <c r="K1469" s="5" t="n">
        <v>0</v>
      </c>
      <c r="L1469" s="4" t="n">
        <v>22</v>
      </c>
      <c r="M1469" s="4" t="n">
        <v>7</v>
      </c>
      <c r="N1469" s="5" t="n">
        <v>4.3</v>
      </c>
      <c r="O1469" s="3" t="inlineStr">
        <is>
          <t>인기좋은  풀옵션완비방   깔끔한 주방분리   조치원역5분 교통편리</t>
        </is>
      </c>
      <c r="P1469" s="6">
        <f>HYPERLINK("https://fin.land.naver.com/articles/2654004184",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연서으뜸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4000</v>
      </c>
      <c r="H1472" s="4" t="n">
        <v>0</v>
      </c>
      <c r="I1472" s="4" t="n">
        <v>26</v>
      </c>
      <c r="J1472" s="4" t="n">
        <v>8</v>
      </c>
      <c r="K1472" s="5" t="n">
        <v>500</v>
      </c>
      <c r="L1472" s="4" t="n">
        <v>19</v>
      </c>
      <c r="M1472" s="4" t="n">
        <v>6</v>
      </c>
      <c r="N1472" s="5" t="n">
        <v>666.7</v>
      </c>
      <c r="O1472" s="3" t="inlineStr">
        <is>
          <t>조치원역도보5분 근저당없는 전세 풀옵션 큰방</t>
        </is>
      </c>
      <c r="P1472" s="6">
        <f>HYPERLINK("https://fin.land.naver.com/articles/2654053914",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용죽부자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다가구</t>
        </is>
      </c>
      <c r="F1474" s="3" t="inlineStr">
        <is>
          <t>전세</t>
        </is>
      </c>
      <c r="G1474" s="4" t="n">
        <v>3800</v>
      </c>
      <c r="H1474" s="4" t="n">
        <v>0</v>
      </c>
      <c r="I1474" s="4" t="n">
        <v>39</v>
      </c>
      <c r="J1474" s="4" t="n">
        <v>12</v>
      </c>
      <c r="K1474" s="5" t="n">
        <v>316.7</v>
      </c>
      <c r="L1474" s="4" t="n">
        <v>26</v>
      </c>
      <c r="M1474" s="4" t="n">
        <v>8</v>
      </c>
      <c r="N1474" s="5" t="n">
        <v>475</v>
      </c>
      <c r="O1474" s="3" t="inlineStr">
        <is>
          <t>조치원역도보거리.융자없음.깔끔한전세.즉시입주</t>
        </is>
      </c>
      <c r="P1474" s="6">
        <f>HYPERLINK("https://fin.land.naver.com/articles/2651980466",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16</v>
      </c>
      <c r="J1489" s="4" t="n">
        <v>5</v>
      </c>
      <c r="K1489" s="5" t="n">
        <v>6</v>
      </c>
      <c r="L1489" s="4" t="n">
        <v>16</v>
      </c>
      <c r="M1489" s="4" t="n">
        <v>5</v>
      </c>
      <c r="N1489" s="5" t="n">
        <v>6</v>
      </c>
      <c r="O1489" s="3" t="inlineStr">
        <is>
          <t>홈플러스 앞 원룸, 세종 신도시 또는 오송으로 출퇴근 용이</t>
        </is>
      </c>
      <c r="P1489" s="6">
        <f>HYPERLINK("https://fin.land.naver.com/articles/2654459531",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300</v>
      </c>
      <c r="H1490" s="4" t="n">
        <v>36</v>
      </c>
      <c r="I1490" s="4" t="n">
        <v>30</v>
      </c>
      <c r="J1490" s="4" t="n">
        <v>9</v>
      </c>
      <c r="K1490" s="5" t="n">
        <v>4</v>
      </c>
      <c r="L1490" s="4" t="n">
        <v>30</v>
      </c>
      <c r="M1490" s="4" t="n">
        <v>9</v>
      </c>
      <c r="N1490" s="5" t="n">
        <v>4</v>
      </c>
      <c r="O1490" s="3" t="inlineStr">
        <is>
          <t>홈플러스 앞 원룸 가격인 1.5룸, 세종 신도시 또는 오송 출퇴근 용이</t>
        </is>
      </c>
      <c r="P1490" s="6">
        <f>HYPERLINK("https://fin.land.naver.com/articles/2654460016",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20</v>
      </c>
      <c r="M1493" s="4" t="n">
        <v>6</v>
      </c>
      <c r="N1493" s="5" t="n">
        <v>5</v>
      </c>
      <c r="O1493" s="3" t="inlineStr">
        <is>
          <t>인기좋은  풀옵션완비방    바로입주  주차편함   고대캠퍼스10분</t>
        </is>
      </c>
      <c r="P1493" s="6">
        <f>HYPERLINK("https://fin.land.naver.com/articles/2656259540",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연서으뜸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15</v>
      </c>
      <c r="M1494" s="4" t="n">
        <v>5</v>
      </c>
      <c r="N1494" s="5" t="n">
        <v>6</v>
      </c>
      <c r="O1494" s="3" t="inlineStr">
        <is>
          <t>L깔끔한 오피스텔 1룸. 즉시입주가능. 뻥뷰. 단기협의</t>
        </is>
      </c>
      <c r="P1494" s="6">
        <f>HYPERLINK("https://fin.land.naver.com/articles/2655382427",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25</v>
      </c>
      <c r="J1499" s="4" t="n">
        <v>8</v>
      </c>
      <c r="K1499" s="5" t="n">
        <v>3.8</v>
      </c>
      <c r="L1499" s="4" t="n">
        <v>18</v>
      </c>
      <c r="M1499" s="4" t="n">
        <v>5</v>
      </c>
      <c r="N1499" s="5" t="n">
        <v>6</v>
      </c>
      <c r="O1499" s="3" t="inlineStr">
        <is>
          <t>상리 터미날 맞은편 상태 깨끗함 즉시입주 가능합니다</t>
        </is>
      </c>
      <c r="P1499" s="6">
        <f>HYPERLINK("https://fin.land.naver.com/articles/2653431981",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39</v>
      </c>
      <c r="J1500" s="4" t="n">
        <v>12</v>
      </c>
      <c r="K1500" s="5" t="n">
        <v>2.5</v>
      </c>
      <c r="L1500" s="4" t="n">
        <v>26</v>
      </c>
      <c r="M1500" s="4" t="n">
        <v>8</v>
      </c>
      <c r="N1500" s="5" t="n">
        <v>3.8</v>
      </c>
      <c r="O1500" s="3" t="inlineStr">
        <is>
          <t>터미널 근처.예쁜룸.즉시입주 가능</t>
        </is>
      </c>
      <c r="P1500" s="6">
        <f>HYPERLINK("https://fin.land.naver.com/articles/2652314109",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척척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1000</v>
      </c>
      <c r="H1502" s="4" t="n">
        <v>65</v>
      </c>
      <c r="I1502" s="4" t="n">
        <v>56</v>
      </c>
      <c r="J1502" s="4" t="n">
        <v>17</v>
      </c>
      <c r="K1502" s="5" t="n">
        <v>3.8</v>
      </c>
      <c r="L1502" s="4" t="n">
        <v>56</v>
      </c>
      <c r="M1502" s="4" t="n">
        <v>17</v>
      </c>
      <c r="N1502" s="5" t="n">
        <v>3.8</v>
      </c>
      <c r="O1502" s="3" t="inlineStr">
        <is>
          <t>명동초 뒤 귀한 풀옵션 깨끗한 투룸. 공실로 즉시입주. 관리비 없음.</t>
        </is>
      </c>
      <c r="P1502" s="6">
        <f>HYPERLINK("https://fin.land.naver.com/articles/2651216985",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82000</v>
      </c>
      <c r="H1503" s="4" t="n">
        <v>0</v>
      </c>
      <c r="I1503" s="4" t="n">
        <v>210</v>
      </c>
      <c r="J1503" s="4" t="n">
        <v>64</v>
      </c>
      <c r="K1503" s="5" t="n">
        <v>1281.2</v>
      </c>
      <c r="L1503" s="4" t="n">
        <v>305</v>
      </c>
      <c r="M1503" s="4" t="n">
        <v>92</v>
      </c>
      <c r="N1503" s="5" t="n">
        <v>891.3</v>
      </c>
      <c r="O1503" s="3" t="inlineStr">
        <is>
          <t>상리 상생마을 옆 교통좋고 잘 지어진 다가구주택 매매.</t>
        </is>
      </c>
      <c r="P1503" s="6">
        <f>HYPERLINK("https://fin.land.naver.com/articles/2654115455",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300</v>
      </c>
      <c r="H1505" s="4" t="n">
        <v>36</v>
      </c>
      <c r="I1505" s="4" t="n">
        <v>30</v>
      </c>
      <c r="J1505" s="4" t="n">
        <v>9</v>
      </c>
      <c r="K1505" s="5" t="n">
        <v>4</v>
      </c>
      <c r="L1505" s="4" t="n">
        <v>20</v>
      </c>
      <c r="M1505" s="4" t="n">
        <v>6</v>
      </c>
      <c r="N1505" s="5" t="n">
        <v>6</v>
      </c>
      <c r="O1505" s="3" t="inlineStr">
        <is>
          <t>깨끗한원룸.실사진.보안철저.주차시설완비</t>
        </is>
      </c>
      <c r="P1505" s="6">
        <f>HYPERLINK("https://fin.land.naver.com/articles/2651069563",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0</t>
        </is>
      </c>
      <c r="E1506" s="3" t="inlineStr">
        <is>
          <t>일반원룸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30</v>
      </c>
      <c r="J1506" s="4" t="n">
        <v>9</v>
      </c>
      <c r="K1506" s="5" t="n">
        <v>466.7</v>
      </c>
      <c r="L1506" s="4" t="n">
        <v>20</v>
      </c>
      <c r="M1506" s="4" t="n">
        <v>6</v>
      </c>
      <c r="N1506" s="5" t="n">
        <v>700</v>
      </c>
      <c r="O1506" s="3" t="inlineStr">
        <is>
          <t>제일 넓은 방 .조치원 명품 오피스텔.</t>
        </is>
      </c>
      <c r="P1506" s="6">
        <f>HYPERLINK("https://fin.land.naver.com/articles/2651544463",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6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300</v>
      </c>
      <c r="H1507" s="4" t="n">
        <v>37</v>
      </c>
      <c r="I1507" s="4" t="n">
        <v>26</v>
      </c>
      <c r="J1507" s="4" t="n">
        <v>8</v>
      </c>
      <c r="K1507" s="5" t="n">
        <v>4.6</v>
      </c>
      <c r="L1507" s="4" t="n">
        <v>18</v>
      </c>
      <c r="M1507" s="4" t="n">
        <v>5</v>
      </c>
      <c r="N1507" s="5" t="n">
        <v>7.4</v>
      </c>
      <c r="O1507" s="3" t="inlineStr">
        <is>
          <t>상리 터미널인근 깨끗한 원룸</t>
        </is>
      </c>
      <c r="P1507" s="6">
        <f>HYPERLINK("https://fin.land.naver.com/articles/2652419757",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OK수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5</t>
        </is>
      </c>
      <c r="E1508" s="3" t="inlineStr">
        <is>
          <t>도시형생활주택</t>
        </is>
      </c>
      <c r="F1508" s="3" t="inlineStr">
        <is>
          <t>월세</t>
        </is>
      </c>
      <c r="G1508" s="4" t="n">
        <v>300</v>
      </c>
      <c r="H1508" s="4" t="n">
        <v>37</v>
      </c>
      <c r="I1508" s="4" t="n">
        <v>0</v>
      </c>
      <c r="J1508" s="4" t="n">
        <v>0</v>
      </c>
      <c r="K1508" s="5" t="n">
        <v>0</v>
      </c>
      <c r="L1508" s="4" t="n">
        <v>20</v>
      </c>
      <c r="M1508" s="4" t="n">
        <v>6</v>
      </c>
      <c r="N1508" s="5" t="n">
        <v>6.2</v>
      </c>
      <c r="O1508" s="3" t="inlineStr">
        <is>
          <t>인기좋은  풀옵션완비방   깔끔한 주거공간   바로입주  주차편함</t>
        </is>
      </c>
      <c r="P1508" s="6">
        <f>HYPERLINK("https://fin.land.naver.com/articles/2655336359",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연서으뜸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0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4500</v>
      </c>
      <c r="H1510" s="4" t="n">
        <v>12</v>
      </c>
      <c r="I1510" s="4" t="n">
        <v>0</v>
      </c>
      <c r="J1510" s="4" t="n">
        <v>0</v>
      </c>
      <c r="K1510" s="5" t="n">
        <v>0</v>
      </c>
      <c r="L1510" s="4" t="n">
        <v>18</v>
      </c>
      <c r="M1510" s="4" t="n">
        <v>5</v>
      </c>
      <c r="N1510" s="5" t="n">
        <v>2.4</v>
      </c>
      <c r="O1510" s="3" t="inlineStr">
        <is>
          <t>L 즉시입주가능  O엘베 O정남향 O역10분내</t>
        </is>
      </c>
      <c r="P1510" s="6">
        <f>HYPERLINK("https://fin.land.naver.com/articles/2654721854",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바다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23</v>
      </c>
      <c r="J1529" s="4" t="n">
        <v>7</v>
      </c>
      <c r="K1529" s="5" t="n">
        <v>642.9</v>
      </c>
      <c r="L1529" s="4" t="n">
        <v>23</v>
      </c>
      <c r="M1529" s="4" t="n">
        <v>7</v>
      </c>
      <c r="N1529" s="5" t="n">
        <v>642.9</v>
      </c>
      <c r="O1529" s="3" t="inlineStr">
        <is>
          <t>서창리 원룸 전세</t>
        </is>
      </c>
      <c r="P1529" s="6">
        <f>HYPERLINK("https://fin.land.naver.com/articles/2655916532",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김준희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39</v>
      </c>
      <c r="J1530" s="4" t="n">
        <v>12</v>
      </c>
      <c r="K1530" s="5" t="n">
        <v>375</v>
      </c>
      <c r="L1530" s="4" t="n">
        <v>26</v>
      </c>
      <c r="M1530" s="4" t="n">
        <v>8</v>
      </c>
      <c r="N1530" s="5" t="n">
        <v>562.5</v>
      </c>
      <c r="O1530" s="3" t="inlineStr">
        <is>
          <t>큰싸이즈의 분리형 원룸 안전한 전세찾으시는분</t>
        </is>
      </c>
      <c r="P1530" s="6">
        <f>HYPERLINK("https://fin.land.naver.com/articles/2655341384",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다가구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월세</t>
        </is>
      </c>
      <c r="P1531" s="6">
        <f>HYPERLINK("https://fin.land.naver.com/articles/2655912413",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상희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22</v>
      </c>
      <c r="J1532" s="4" t="n">
        <v>7</v>
      </c>
      <c r="K1532" s="5" t="n">
        <v>4.3</v>
      </c>
      <c r="L1532" s="4" t="n">
        <v>22</v>
      </c>
      <c r="M1532" s="4" t="n">
        <v>7</v>
      </c>
      <c r="N1532" s="5" t="n">
        <v>4.3</v>
      </c>
      <c r="O1532" s="3" t="inlineStr">
        <is>
          <t>방2칸, 입주 청소하고 가능
원룸월세</t>
        </is>
      </c>
      <c r="P1532" s="6">
        <f>HYPERLINK("https://fin.land.naver.com/articles/2655958081",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상희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0</v>
      </c>
      <c r="J1534" s="4" t="n">
        <v>0</v>
      </c>
      <c r="K1534" s="5" t="n">
        <v>0</v>
      </c>
      <c r="L1534" s="4" t="n">
        <v>25</v>
      </c>
      <c r="M1534" s="4" t="n">
        <v>8</v>
      </c>
      <c r="N1534" s="5" t="n">
        <v>3.8</v>
      </c>
      <c r="O1534" s="3" t="inlineStr">
        <is>
          <t>넓고 깔끔한 풀옵션방  주차편함  짐만 챙겨오세요 교통편리</t>
        </is>
      </c>
      <c r="P1534" s="6">
        <f>HYPERLINK("https://fin.land.naver.com/articles/2656662053",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연서으뜸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4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70000</v>
      </c>
      <c r="H1538" s="4" t="n">
        <v>0</v>
      </c>
      <c r="I1538" s="4" t="n">
        <v>317</v>
      </c>
      <c r="J1538" s="4" t="n">
        <v>96</v>
      </c>
      <c r="K1538" s="5" t="n">
        <v>729.2</v>
      </c>
      <c r="L1538" s="4" t="n">
        <v>481</v>
      </c>
      <c r="M1538" s="4" t="n">
        <v>146</v>
      </c>
      <c r="N1538" s="5" t="n">
        <v>479.5</v>
      </c>
      <c r="O1538" s="3" t="inlineStr">
        <is>
          <t>nan</t>
        </is>
      </c>
      <c r="P1538" s="6">
        <f>HYPERLINK("https://fin.land.naver.com/articles/2654391524",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일반원룸</t>
        </is>
      </c>
      <c r="F1539" s="3" t="inlineStr">
        <is>
          <t>월세</t>
        </is>
      </c>
      <c r="G1539" s="4" t="n">
        <v>100</v>
      </c>
      <c r="H1539" s="4" t="n">
        <v>30</v>
      </c>
      <c r="I1539" s="4" t="n">
        <v>23</v>
      </c>
      <c r="J1539" s="4" t="n">
        <v>7</v>
      </c>
      <c r="K1539" s="5" t="n">
        <v>4.3</v>
      </c>
      <c r="L1539" s="4" t="n">
        <v>23</v>
      </c>
      <c r="M1539" s="4" t="n">
        <v>7</v>
      </c>
      <c r="N1539" s="5" t="n">
        <v>4.3</v>
      </c>
      <c r="O1539" s="3" t="inlineStr">
        <is>
          <t>11월초 입주가능한 원룸</t>
        </is>
      </c>
      <c r="P1539" s="6">
        <f>HYPERLINK("https://fin.land.naver.com/articles/2654006832",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김준희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다가구 매매 실투자금 약 5억</t>
        </is>
      </c>
      <c r="P1540" s="6">
        <f>HYPERLINK("https://fin.land.naver.com/articles/2651340270",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상희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nan</t>
        </is>
      </c>
      <c r="P1552" s="6">
        <f>HYPERLINK("https://fin.land.naver.com/articles/2656187749",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웰스플랜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383</v>
      </c>
      <c r="J1553" s="4" t="n">
        <v>116</v>
      </c>
      <c r="K1553" s="5" t="n">
        <v>142.2</v>
      </c>
      <c r="L1553" s="4" t="n">
        <v>374</v>
      </c>
      <c r="M1553" s="4" t="n">
        <v>113</v>
      </c>
      <c r="N1553" s="5" t="n">
        <v>146</v>
      </c>
      <c r="O1553" s="3" t="inlineStr">
        <is>
          <t>자연과 어우러진 전원형 빌라주거지 세종시와 청주. 오송방면 이동이편리함</t>
        </is>
      </c>
      <c r="P1553" s="6">
        <f>HYPERLINK("https://fin.land.naver.com/articles/2653251981",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재원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신축,즉시입주가능, 홍대근접,엘리베이터 있음 주차장 여유, 조용한 환경</t>
        </is>
      </c>
      <c r="P1554" s="6">
        <f>HYPERLINK("https://fin.land.naver.com/articles/2651286294",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담뜰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99</v>
      </c>
      <c r="J1555" s="4" t="n">
        <v>30</v>
      </c>
      <c r="K1555" s="5" t="n">
        <v>550</v>
      </c>
      <c r="L1555" s="4" t="n">
        <v>88</v>
      </c>
      <c r="M1555" s="4" t="n">
        <v>27</v>
      </c>
      <c r="N1555" s="5" t="n">
        <v>611.1</v>
      </c>
      <c r="O1555" s="3" t="inlineStr">
        <is>
          <t>신축빌라,즉시입주가능,주차장 여유로움,올리모델링엘리베이터있음,</t>
        </is>
      </c>
      <c r="P1555" s="6">
        <f>HYPERLINK("https://fin.land.naver.com/articles/2652138880",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빌라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93</v>
      </c>
      <c r="J1556" s="4" t="n">
        <v>28</v>
      </c>
      <c r="K1556" s="5" t="n">
        <v>589.3</v>
      </c>
      <c r="L1556" s="4" t="n">
        <v>80</v>
      </c>
      <c r="M1556" s="4" t="n">
        <v>24</v>
      </c>
      <c r="N1556" s="5" t="n">
        <v>687.5</v>
      </c>
      <c r="O1556" s="3" t="inlineStr">
        <is>
          <t>전원형 주거지신축빌라, 올리모델링, 급매 1억6500만원, 역세권예정</t>
        </is>
      </c>
      <c r="P1556" s="6">
        <f>HYPERLINK("https://fin.land.naver.com/articles/2651743361",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대한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120</v>
      </c>
      <c r="J1569" s="4" t="n">
        <v>36</v>
      </c>
      <c r="K1569" s="5" t="n">
        <v>416.7</v>
      </c>
      <c r="L1569" s="4" t="n">
        <v>120</v>
      </c>
      <c r="M1569" s="4" t="n">
        <v>36</v>
      </c>
      <c r="N1569" s="5" t="n">
        <v>416.7</v>
      </c>
      <c r="O1569" s="3" t="inlineStr">
        <is>
          <t>주인세대, 태양광 설치로 인한 저렴한 전기세</t>
        </is>
      </c>
      <c r="P1569" s="6">
        <f>HYPERLINK("https://fin.land.naver.com/articles/2654012470",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0</v>
      </c>
      <c r="J1570" s="4" t="n">
        <v>0</v>
      </c>
      <c r="K1570" s="5" t="n">
        <v>0</v>
      </c>
      <c r="L1570" s="4" t="n">
        <v>120</v>
      </c>
      <c r="M1570" s="4" t="n">
        <v>36</v>
      </c>
      <c r="N1570" s="5" t="n">
        <v>416.7</v>
      </c>
      <c r="O1570" s="3" t="inlineStr">
        <is>
          <t>엘리베이터 있고 화장실2개 주인세대 남향, 태양광설치</t>
        </is>
      </c>
      <c r="P1570" s="6">
        <f>HYPERLINK("https://fin.land.naver.com/articles/2654594543",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부자터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nan</t>
        </is>
      </c>
      <c r="P1575" s="6">
        <f>HYPERLINK("https://fin.land.naver.com/articles/2654390565",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홍익대학교, 고려대학교 후문쪽 위치, 공실없음</t>
        </is>
      </c>
      <c r="P1576" s="6">
        <f>HYPERLINK("https://fin.land.naver.com/articles/2653295120",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일반원룸</t>
        </is>
      </c>
      <c r="F1581" s="3" t="inlineStr">
        <is>
          <t>전세</t>
        </is>
      </c>
      <c r="G1581" s="4" t="n">
        <v>5000</v>
      </c>
      <c r="H1581" s="4" t="n">
        <v>0</v>
      </c>
      <c r="I1581" s="4" t="n">
        <v>0</v>
      </c>
      <c r="J1581" s="4" t="n">
        <v>0</v>
      </c>
      <c r="K1581" s="5" t="n">
        <v>0</v>
      </c>
      <c r="L1581" s="4" t="n">
        <v>23</v>
      </c>
      <c r="M1581" s="4" t="n">
        <v>7</v>
      </c>
      <c r="N1581" s="5" t="n">
        <v>714.3</v>
      </c>
      <c r="O1581" s="3" t="inlineStr">
        <is>
          <t>LH가능 융자없는 전세 고대 홍대 주방도 넓고 방도 넓어요</t>
        </is>
      </c>
      <c r="P1581" s="6">
        <f>HYPERLINK("https://fin.land.naver.com/articles/2655629795",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이노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110000</v>
      </c>
      <c r="H1582" s="4" t="n">
        <v>0</v>
      </c>
      <c r="I1582" s="4" t="n">
        <v>351</v>
      </c>
      <c r="J1582" s="4" t="n">
        <v>106</v>
      </c>
      <c r="K1582" s="5" t="n">
        <v>1037.7</v>
      </c>
      <c r="L1582" s="4" t="n">
        <v>594</v>
      </c>
      <c r="M1582" s="4" t="n">
        <v>180</v>
      </c>
      <c r="N1582" s="5" t="n">
        <v>611.1</v>
      </c>
      <c r="O1582" s="3" t="inlineStr">
        <is>
          <t>고대와 홍대사이의 인기있는 원룸으로 공실없음</t>
        </is>
      </c>
      <c r="P1582" s="6">
        <f>HYPERLINK("https://fin.land.naver.com/articles/2653294943",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2</t>
        </is>
      </c>
      <c r="E1594" s="3" t="inlineStr">
        <is>
          <t>주공신흥</t>
        </is>
      </c>
      <c r="F1594" s="3" t="inlineStr">
        <is>
          <t>월세</t>
        </is>
      </c>
      <c r="G1594" s="4" t="n">
        <v>1000</v>
      </c>
      <c r="H1594" s="4" t="n">
        <v>40</v>
      </c>
      <c r="I1594" s="4" t="n">
        <v>73</v>
      </c>
      <c r="J1594" s="4" t="n">
        <v>22</v>
      </c>
      <c r="K1594" s="5" t="n">
        <v>1.8</v>
      </c>
      <c r="L1594" s="4" t="n">
        <v>67</v>
      </c>
      <c r="M1594" s="4" t="n">
        <v>20</v>
      </c>
      <c r="N1594" s="5" t="n">
        <v>2</v>
      </c>
      <c r="O1594" s="3" t="inlineStr">
        <is>
          <t>상태양호,즉시입주,보증금 조절가능합니다.</t>
        </is>
      </c>
      <c r="P1594" s="6">
        <f>HYPERLINK("https://fin.land.naver.com/articles/2654454354",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신안무소</t>
        </is>
      </c>
      <c r="T1594" s="4" t="n">
        <v>3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주공신흥</t>
        </is>
      </c>
      <c r="F1595" s="3" t="inlineStr">
        <is>
          <t>월세</t>
        </is>
      </c>
      <c r="G1595" s="4" t="n">
        <v>3000</v>
      </c>
      <c r="H1595" s="4" t="n">
        <v>25</v>
      </c>
      <c r="I1595" s="4" t="n">
        <v>62</v>
      </c>
      <c r="J1595" s="4" t="n">
        <v>19</v>
      </c>
      <c r="K1595" s="5" t="n">
        <v>1.3</v>
      </c>
      <c r="L1595" s="4" t="n">
        <v>57</v>
      </c>
      <c r="M1595" s="4" t="n">
        <v>17</v>
      </c>
      <c r="N1595" s="5" t="n">
        <v>1.5</v>
      </c>
      <c r="O1595" s="3" t="inlineStr">
        <is>
          <t>남향 즉시입주 에어컨 있음</t>
        </is>
      </c>
      <c r="P1595" s="6">
        <f>HYPERLINK("https://fin.land.naver.com/articles/2655927746",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욱일</t>
        </is>
      </c>
      <c r="T1595" s="4" t="n">
        <v>3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37000</v>
      </c>
      <c r="H1596" s="4" t="n">
        <v>0</v>
      </c>
      <c r="I1596" s="4" t="n">
        <v>73</v>
      </c>
      <c r="J1596" s="4" t="n">
        <v>22</v>
      </c>
      <c r="K1596" s="5" t="n">
        <v>1681.8</v>
      </c>
      <c r="L1596" s="4" t="n">
        <v>67</v>
      </c>
      <c r="M1596" s="4" t="n">
        <v>20</v>
      </c>
      <c r="N1596" s="5" t="n">
        <v>1850</v>
      </c>
      <c r="O1596" s="3" t="inlineStr">
        <is>
          <t>전세3500거주중,재건축단지</t>
        </is>
      </c>
      <c r="P1596" s="6">
        <f>HYPERLINK("https://fin.land.naver.com/articles/2653381041",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1</t>
        </is>
      </c>
      <c r="E1597" s="3" t="inlineStr">
        <is>
          <t>주공신흥</t>
        </is>
      </c>
      <c r="F1597" s="3" t="inlineStr">
        <is>
          <t>매매</t>
        </is>
      </c>
      <c r="G1597" s="4" t="n">
        <v>25000</v>
      </c>
      <c r="H1597" s="4" t="n">
        <v>0</v>
      </c>
      <c r="I1597" s="4" t="n">
        <v>73</v>
      </c>
      <c r="J1597" s="4" t="n">
        <v>22</v>
      </c>
      <c r="K1597" s="5" t="n">
        <v>1136.4</v>
      </c>
      <c r="L1597" s="4" t="n">
        <v>67</v>
      </c>
      <c r="M1597" s="4" t="n">
        <v>20</v>
      </c>
      <c r="N1597" s="5" t="n">
        <v>1250</v>
      </c>
      <c r="O1597" s="3" t="inlineStr">
        <is>
          <t>재건축 진행 중,등급 상향으로 용적률 높아짐,미래 가치에 투자하세요</t>
        </is>
      </c>
      <c r="P1597" s="6">
        <f>HYPERLINK("https://fin.land.naver.com/articles/2655148914",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유정희</t>
        </is>
      </c>
      <c r="T1597" s="4" t="n">
        <v>1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30000</v>
      </c>
      <c r="H1598" s="4" t="n">
        <v>0</v>
      </c>
      <c r="I1598" s="4" t="n">
        <v>73</v>
      </c>
      <c r="J1598" s="4" t="n">
        <v>22</v>
      </c>
      <c r="K1598" s="5" t="n">
        <v>1363.6</v>
      </c>
      <c r="L1598" s="4" t="n">
        <v>67</v>
      </c>
      <c r="M1598" s="4" t="n">
        <v>20</v>
      </c>
      <c r="N1598" s="5" t="n">
        <v>1500</v>
      </c>
      <c r="O1598" s="3" t="inlineStr">
        <is>
          <t>급매,실입주가능</t>
        </is>
      </c>
      <c r="P1598" s="6">
        <f>HYPERLINK("https://fin.land.naver.com/articles/2655081755",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다산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주공신흥</t>
        </is>
      </c>
      <c r="F1599" s="3" t="inlineStr">
        <is>
          <t>매매</t>
        </is>
      </c>
      <c r="G1599" s="4" t="n">
        <v>17000</v>
      </c>
      <c r="H1599" s="4" t="n">
        <v>0</v>
      </c>
      <c r="I1599" s="4" t="n">
        <v>59</v>
      </c>
      <c r="J1599" s="4" t="n">
        <v>18</v>
      </c>
      <c r="K1599" s="5" t="n">
        <v>944.4</v>
      </c>
      <c r="L1599" s="4" t="n">
        <v>55</v>
      </c>
      <c r="M1599" s="4" t="n">
        <v>17</v>
      </c>
      <c r="N1599" s="5" t="n">
        <v>1000</v>
      </c>
      <c r="O1599" s="3" t="inlineStr">
        <is>
          <t>급매, 실입주 가능</t>
        </is>
      </c>
      <c r="P1599" s="6">
        <f>HYPERLINK("https://fin.land.naver.com/articles/2654897368",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KB세종</t>
        </is>
      </c>
      <c r="T1599" s="4" t="n">
        <v>1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연립</t>
        </is>
      </c>
      <c r="F1601" s="3" t="inlineStr">
        <is>
          <t>월세</t>
        </is>
      </c>
      <c r="G1601" s="4" t="n">
        <v>1000</v>
      </c>
      <c r="H1601" s="4" t="n">
        <v>40</v>
      </c>
      <c r="I1601" s="4" t="n">
        <v>67</v>
      </c>
      <c r="J1601" s="4" t="n">
        <v>20</v>
      </c>
      <c r="K1601" s="5" t="n">
        <v>2</v>
      </c>
      <c r="L1601" s="4" t="n">
        <v>67</v>
      </c>
      <c r="M1601" s="4" t="n">
        <v>20</v>
      </c>
      <c r="N1601" s="5" t="n">
        <v>2</v>
      </c>
      <c r="O1601" s="3" t="inlineStr">
        <is>
          <t>상태양호 즉시입주</t>
        </is>
      </c>
      <c r="P1601" s="6">
        <f>HYPERLINK("https://fin.land.naver.com/articles/2656385075",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골드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HYPERLINK("https://fin.land.naver.com/articles/2655307907",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HYPERLINK("https://fin.land.naver.com/articles/2656271444",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16320</v>
      </c>
      <c r="G86" s="4" t="n">
        <v>899</v>
      </c>
      <c r="H86" s="4" t="n">
        <v>272</v>
      </c>
      <c r="I86" s="5" t="n">
        <v>60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HYPERLINK("https://fin.land.naver.com/articles/2655492258",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HYPERLINK("https://fin.land.naver.com/articles/2655044096",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필지 뒷편이 공원, 가락초,두루고와 근접, 아파트 단지상가와 가까움</t>
        </is>
      </c>
      <c r="L205" s="6">
        <f>HYPERLINK("https://fin.land.naver.com/articles/2654473718",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국제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364</v>
      </c>
      <c r="H212" s="4" t="n">
        <v>110</v>
      </c>
      <c r="I212" s="5" t="n">
        <v>545.5</v>
      </c>
      <c r="J212" s="5" t="n">
        <v>346.4</v>
      </c>
      <c r="K212" s="3" t="inlineStr">
        <is>
          <t>코너자리로 입지최고 고운동학교 상권이용편리 가격조정가능</t>
        </is>
      </c>
      <c r="L212" s="6">
        <f>HYPERLINK("https://fin.land.naver.com/articles/2651803985",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HYPERLINK("https://fin.land.naver.com/articles/2651776855",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344</v>
      </c>
      <c r="H221" s="4" t="n">
        <v>104</v>
      </c>
      <c r="I221" s="5" t="n">
        <v>500</v>
      </c>
      <c r="J221" s="5" t="n">
        <v>304.8</v>
      </c>
      <c r="K221" s="3" t="inlineStr">
        <is>
          <t>두루고등학교앞 단독주택지 최선을다해서 가격조정해보겠습니다.</t>
        </is>
      </c>
      <c r="L221" s="6">
        <f>HYPERLINK("https://fin.land.naver.com/articles/2655533677",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고운동리치세종</t>
        </is>
      </c>
      <c r="P221" s="4" t="n">
        <v>4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HYPERLINK("https://fin.land.naver.com/articles/2653085815",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코너자리로 입지 최고  공원옆  실개천옆 학군 상권이용편리</t>
        </is>
      </c>
      <c r="L245" s="6">
        <f>HYPERLINK("https://fin.land.naver.com/articles/2651998602",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HYPERLINK("https://fin.land.naver.com/articles/2654705090",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급매 추가조율가능 넓은평수 뒤로보행로접</t>
        </is>
      </c>
      <c r="L247" s="6">
        <f>HYPERLINK("https://fin.land.naver.com/articles/2652418961",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고운동 생활인프라 좋은 위치 토지매매</t>
        </is>
      </c>
      <c r="L248" s="6">
        <f>HYPERLINK("https://fin.land.naver.com/articles/2651942130",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공원과 실개천 품은 코너 입지 I 초등 고등학교 인근 단독주택용</t>
        </is>
      </c>
      <c r="L251" s="6">
        <f>HYPERLINK("https://fin.land.naver.com/articles/2655731957",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HYPERLINK("https://fin.land.naver.com/articles/2655654219",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삼거리 코너 위치 토지매매</t>
        </is>
      </c>
      <c r="L253" s="6">
        <f>HYPERLINK("https://fin.land.naver.com/articles/2653686910",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귀한 코너 택지 I 가락초 고운뜰공원 인접 프리미엄 단독주택 용지</t>
        </is>
      </c>
      <c r="L256" s="6">
        <f>HYPERLINK("https://fin.land.naver.com/articles/2655730492",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세종신한</t>
        </is>
      </c>
      <c r="P256" s="4" t="n">
        <v>2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HYPERLINK("https://fin.land.naver.com/articles/2655654749",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HYPERLINK("https://fin.land.naver.com/articles/2654556399",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총 119.9p, 상가인근토지, 삼거리 위치</t>
        </is>
      </c>
      <c r="L274" s="6">
        <f>HYPERLINK("https://fin.land.naver.com/articles/2652843053",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HYPERLINK("https://fin.land.naver.com/articles/2656276902",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HYPERLINK("https://fin.land.naver.com/articles/2654928258",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HYPERLINK("https://fin.land.naver.com/articles/2656268860",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170000</v>
      </c>
      <c r="G287" s="4" t="n">
        <v>391</v>
      </c>
      <c r="H287" s="4" t="n">
        <v>118</v>
      </c>
      <c r="I287" s="5" t="n">
        <v>1440.7</v>
      </c>
      <c r="J287" s="5" t="n">
        <v>802.6</v>
      </c>
      <c r="K287" s="3" t="inlineStr">
        <is>
          <t>광고 효과 코너 근생 I 자동차 썬팅,세차,음식점,카페,애견샵 추</t>
        </is>
      </c>
      <c r="L287" s="6">
        <f>HYPERLINK("https://fin.land.naver.com/articles/2655852093",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세종신한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HYPERLINK("https://fin.land.naver.com/articles/2656213807",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nan</t>
        </is>
      </c>
      <c r="L304" s="6">
        <f>HYPERLINK("https://fin.land.naver.com/articles/2654025362",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세종지평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코너 급매, 초중교 인접, 생활편의시설 다양함, 대중교통 편리함</t>
        </is>
      </c>
      <c r="L308" s="6">
        <f>HYPERLINK("https://fin.land.naver.com/articles/2654967120",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백프로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HYPERLINK("https://fin.land.naver.com/articles/2655653082",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79000</v>
      </c>
      <c r="G316" s="4" t="n">
        <v>345</v>
      </c>
      <c r="H316" s="4" t="n">
        <v>104</v>
      </c>
      <c r="I316" s="5" t="n">
        <v>759.6</v>
      </c>
      <c r="J316" s="5" t="n">
        <v>297.2</v>
      </c>
      <c r="K316" s="3" t="inlineStr">
        <is>
          <t>고운동 남측, 인기좋은 단독주택지, 주변에 예쁜 주택 지어져 있음</t>
        </is>
      </c>
      <c r="L316" s="6">
        <f>HYPERLINK("https://fin.land.naver.com/articles/2652887919",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345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HYPERLINK("https://fin.land.naver.com/articles/2651616970",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천재원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HYPERLINK("https://fin.land.naver.com/articles/2652471199",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세종보물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고운동 상업지역 토지 매매</t>
        </is>
      </c>
      <c r="L323" s="6">
        <f>HYPERLINK("https://fin.land.naver.com/articles/2655502969",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행복가득한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세종시립도서관 인근에 위치한 대로변에 접한 위치좋은 대지 입니다.</t>
        </is>
      </c>
      <c r="L324" s="6">
        <f>HYPERLINK("https://fin.land.naver.com/articles/2655515337",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가람</t>
        </is>
      </c>
      <c r="P324" s="4" t="n">
        <v>5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483600</v>
      </c>
      <c r="G326" s="4" t="n">
        <v>615</v>
      </c>
      <c r="H326" s="4" t="n">
        <v>186</v>
      </c>
      <c r="I326" s="5" t="n">
        <v>2600</v>
      </c>
      <c r="J326" s="5" t="n">
        <v>1021.2</v>
      </c>
      <c r="K326" s="3" t="inlineStr">
        <is>
          <t>세종 행복도시 상업지역 내 귀한 토지</t>
        </is>
      </c>
      <c r="L326" s="6">
        <f>HYPERLINK("https://fin.land.naver.com/articles/2656242858",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수자인시티</t>
        </is>
      </c>
      <c r="P326" s="4" t="n">
        <v>2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HYPERLINK("https://fin.land.naver.com/articles/2654717654",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HYPERLINK("https://fin.land.naver.com/articles/2654430493",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HYPERLINK("https://fin.land.naver.com/articles/2654220921",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총 117.2p, 고운동 고급 타운하우스 토지매매</t>
        </is>
      </c>
      <c r="L336" s="6">
        <f>HYPERLINK("https://fin.land.naver.com/articles/2654703193",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명진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387</v>
      </c>
      <c r="H337" s="4" t="n">
        <v>117</v>
      </c>
      <c r="I337" s="5" t="n">
        <v>1025.6</v>
      </c>
      <c r="J337" s="5" t="n">
        <v>282.1</v>
      </c>
      <c r="K337" s="3" t="inlineStr">
        <is>
          <t>벙커형 주차장가능 최고로얄필지 사생활보호최고 뒷마당 넓은곳</t>
        </is>
      </c>
      <c r="L337" s="6">
        <f>HYPERLINK("https://fin.land.naver.com/articles/2652918007",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HYPERLINK("https://fin.land.naver.com/articles/2654920808",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118.8p, 비안비채힐즈 블록형 타운하우스 단독주택 토지매매</t>
        </is>
      </c>
      <c r="L341" s="6">
        <f>HYPERLINK("https://fin.land.naver.com/articles/2656259612",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nan</t>
        </is>
      </c>
      <c r="L346" s="6">
        <f>HYPERLINK("https://fin.land.naver.com/articles/2654038772",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급매, 노블테라스 토지매매, 벙커주차장 가능</t>
        </is>
      </c>
      <c r="L348" s="6">
        <f>HYPERLINK("https://fin.land.naver.com/articles/2656322273",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73000</v>
      </c>
      <c r="G349" s="4" t="n">
        <v>357</v>
      </c>
      <c r="H349" s="4" t="n">
        <v>108</v>
      </c>
      <c r="I349" s="5" t="n">
        <v>675.9</v>
      </c>
      <c r="J349" s="5" t="n">
        <v>357.7</v>
      </c>
      <c r="K349" s="3" t="inlineStr">
        <is>
          <t>총 108.3p, 고운동 노블테라스 타운하우스 토지매매</t>
        </is>
      </c>
      <c r="L349" s="6">
        <f>HYPERLINK("https://fin.land.naver.com/articles/2654898356",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90.9p, 지대 높은 한옥 마을 토지매매</t>
        </is>
      </c>
      <c r="L355" s="6">
        <f>HYPERLINK("https://fin.land.naver.com/articles/2650891216",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코너각지 지대높음 정자조망</t>
        </is>
      </c>
      <c r="L356" s="6">
        <f>HYPERLINK("https://fin.land.naver.com/articles/2652418949",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290</v>
      </c>
      <c r="H357" s="4" t="n">
        <v>88</v>
      </c>
      <c r="I357" s="5" t="n">
        <v>568.2</v>
      </c>
      <c r="J357" s="5" t="n">
        <v>249.7</v>
      </c>
      <c r="K357" s="3" t="inlineStr">
        <is>
          <t>한옥마을토지 급매, 조율도 가능합니다</t>
        </is>
      </c>
      <c r="L357" s="6">
        <f>HYPERLINK("https://fin.land.naver.com/articles/2653573708",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295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HYPERLINK("https://fin.land.naver.com/articles/2655177060",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고운동한옥마을 근생용지 도로변인접 노출이 잘되는 입지</t>
        </is>
      </c>
      <c r="L360" s="6">
        <f>HYPERLINK("https://fin.land.naver.com/articles/2651808448",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96.1p, 한옥마을 근생토지, 위치 좋고 노출 좋은 토지</t>
        </is>
      </c>
      <c r="L361" s="6">
        <f>HYPERLINK("https://fin.land.naver.com/articles/2655487148",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타운하우스 내 단독주택 토지 매매</t>
        </is>
      </c>
      <c r="L366" s="6">
        <f>HYPERLINK("https://fin.land.naver.com/articles/2654237070",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찬스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네이플리브 단독주택지 토지</t>
        </is>
      </c>
      <c r="L367" s="6">
        <f>HYPERLINK("https://fin.land.naver.com/articles/2654695790",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네이플리브 토지매매, 76.3p 도로지분 35p 별도</t>
        </is>
      </c>
      <c r="L369" s="6">
        <f>HYPERLINK("https://fin.land.naver.com/articles/2652839705",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급매, 네이플리브 토지 76.3p, 도로지분 35.1p 총 111.4p</t>
        </is>
      </c>
      <c r="L370" s="6">
        <f>HYPERLINK("https://fin.land.naver.com/articles/2654703024",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코지빌 토지매매, 공원 옆, 앞쪽 입지 좋은 토지</t>
        </is>
      </c>
      <c r="L379" s="6">
        <f>HYPERLINK("https://fin.land.naver.com/articles/2651770499",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HYPERLINK("https://fin.land.naver.com/articles/2650960095",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급매,넓은평수,복합커뮤니티센터,항아리중심상권 생활권 편리</t>
        </is>
      </c>
      <c r="L387" s="6">
        <f>HYPERLINK("https://fin.land.naver.com/articles/2650943280",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고운동 인프라 활용편한 단독주택지, 입지 좋은 토지</t>
        </is>
      </c>
      <c r="L389" s="6">
        <f>HYPERLINK("https://fin.land.naver.com/articles/2653568386",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106.85p, 고운동 공원인근</t>
        </is>
      </c>
      <c r="L391" s="6">
        <f>HYPERLINK("https://fin.land.naver.com/articles/2654715656",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106.8p, 아파트단지 바로 옆, 고운동 단독주택</t>
        </is>
      </c>
      <c r="L392" s="6">
        <f>HYPERLINK("https://fin.land.naver.com/articles/2654924876",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HYPERLINK("https://fin.land.naver.com/articles/2655487583",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코너각지,복합커뮤니티센터,항아리중심상권 생활권 편리,가격조정가능</t>
        </is>
      </c>
      <c r="L403" s="6">
        <f>HYPERLINK("https://fin.land.naver.com/articles/2650947653",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고운맘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코너각지  학교 근린생활시설 가까운 토지</t>
        </is>
      </c>
      <c r="L410" s="6">
        <f>HYPERLINK("https://fin.land.naver.com/articles/2654597621",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고운힐스테이트</t>
        </is>
      </c>
      <c r="P410" s="4" t="n">
        <v>3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nan</t>
        </is>
      </c>
      <c r="L411" s="6">
        <f>HYPERLINK("https://fin.land.naver.com/articles/2651029069",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디아트성심</t>
        </is>
      </c>
      <c r="P411" s="4" t="n">
        <v>1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63000</v>
      </c>
      <c r="G424" s="4" t="n">
        <v>2807</v>
      </c>
      <c r="H424" s="4" t="n">
        <v>849</v>
      </c>
      <c r="I424" s="5" t="n">
        <v>74.2</v>
      </c>
      <c r="J424" s="5" t="n">
        <v>45</v>
      </c>
      <c r="K424" s="3" t="inlineStr">
        <is>
          <t>nan</t>
        </is>
      </c>
      <c r="L424" s="6">
        <f>HYPERLINK("https://fin.land.naver.com/articles/2651107952",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뉴엘리트탑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75000</v>
      </c>
      <c r="G425" s="4" t="n">
        <v>3441</v>
      </c>
      <c r="H425" s="4" t="n">
        <v>1041</v>
      </c>
      <c r="I425" s="5" t="n">
        <v>72</v>
      </c>
      <c r="J425" s="5" t="n">
        <v>45</v>
      </c>
      <c r="K425" s="3" t="inlineStr">
        <is>
          <t>nan</t>
        </is>
      </c>
      <c r="L425" s="6">
        <f>HYPERLINK("https://fin.land.naver.com/articles/2652749139",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세종대평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22825</v>
      </c>
      <c r="G433" s="4" t="n">
        <v>1379</v>
      </c>
      <c r="H433" s="4" t="n">
        <v>417</v>
      </c>
      <c r="I433" s="5" t="n">
        <v>54.7</v>
      </c>
      <c r="J433" s="5" t="n">
        <v>27.8</v>
      </c>
      <c r="K433" s="3" t="inlineStr">
        <is>
          <t>대전 인접 세종시 금남면 복숭아 나무 포함 ,관리 잘 된 알짜 과수원</t>
        </is>
      </c>
      <c r="L433" s="6">
        <f>HYPERLINK("https://fin.land.naver.com/articles/2651530314",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한아름</t>
        </is>
      </c>
      <c r="P433" s="4" t="n">
        <v>1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23000</v>
      </c>
      <c r="G434" s="4" t="n">
        <v>1378</v>
      </c>
      <c r="H434" s="4" t="n">
        <v>417</v>
      </c>
      <c r="I434" s="5" t="n">
        <v>55.2</v>
      </c>
      <c r="J434" s="5" t="n">
        <v>27.8</v>
      </c>
      <c r="K434" s="3" t="inlineStr">
        <is>
          <t>구거낀 현황도로 전 매매</t>
        </is>
      </c>
      <c r="L434" s="6">
        <f>HYPERLINK("https://fin.land.naver.com/articles/2653195495",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THE행복</t>
        </is>
      </c>
      <c r="P434" s="4" t="n">
        <v>2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44200</v>
      </c>
      <c r="G455" s="4" t="n">
        <v>425</v>
      </c>
      <c r="H455" s="4" t="n">
        <v>129</v>
      </c>
      <c r="I455" s="5" t="n">
        <v>342.6</v>
      </c>
      <c r="J455" s="5" t="n">
        <v>175.4</v>
      </c>
      <c r="K455" s="3" t="inlineStr">
        <is>
          <t>4생활옆 대박리 전원주택지</t>
        </is>
      </c>
      <c r="L455" s="6">
        <f>HYPERLINK("https://fin.land.naver.com/articles/2651786370",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세종천지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44100</v>
      </c>
      <c r="G456" s="4" t="n">
        <v>425</v>
      </c>
      <c r="H456" s="4" t="n">
        <v>129</v>
      </c>
      <c r="I456" s="5" t="n">
        <v>341.9</v>
      </c>
      <c r="J456" s="5" t="n">
        <v>175.4</v>
      </c>
      <c r="K456" s="3" t="inlineStr">
        <is>
          <t>세종 뷰 좋고 투자가치 좋은 전원주택지</t>
        </is>
      </c>
      <c r="L456" s="6">
        <f>HYPERLINK("https://fin.land.naver.com/articles/2655612769",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미소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55000</v>
      </c>
      <c r="G467" s="4" t="n">
        <v>610</v>
      </c>
      <c r="H467" s="4" t="n">
        <v>185</v>
      </c>
      <c r="I467" s="5" t="n">
        <v>297.3</v>
      </c>
      <c r="J467" s="5" t="n">
        <v>61.2</v>
      </c>
      <c r="K467" s="3" t="inlineStr">
        <is>
          <t>nan</t>
        </is>
      </c>
      <c r="L467" s="6">
        <f>HYPERLINK("https://fin.land.naver.com/articles/2653140300",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세종몽땅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68600</v>
      </c>
      <c r="G468" s="4" t="n">
        <v>610</v>
      </c>
      <c r="H468" s="4" t="n">
        <v>185</v>
      </c>
      <c r="I468" s="5" t="n">
        <v>370.8</v>
      </c>
      <c r="J468" s="5" t="n">
        <v>61.2</v>
      </c>
      <c r="K468" s="3" t="inlineStr">
        <is>
          <t>프리미엄 단독주택지 매매 I 금강수목원 영구 조망 I 남향 건축허가 완료</t>
        </is>
      </c>
      <c r="L468" s="6">
        <f>HYPERLINK("https://fin.land.naver.com/articles/2655200566",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세종신한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59500</v>
      </c>
      <c r="G474" s="4" t="n">
        <v>687</v>
      </c>
      <c r="H474" s="4" t="n">
        <v>208</v>
      </c>
      <c r="I474" s="5" t="n">
        <v>286.1</v>
      </c>
      <c r="J474" s="5" t="n">
        <v>95.2</v>
      </c>
      <c r="K474" s="3" t="inlineStr">
        <is>
          <t>세종시 금남면 토지 건물 매매 2종근생 사무실 포함</t>
        </is>
      </c>
      <c r="L474" s="6">
        <f>HYPERLINK("https://fin.land.naver.com/articles/2654033490",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THE행복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67000</v>
      </c>
      <c r="G475" s="4" t="n">
        <v>578</v>
      </c>
      <c r="H475" s="4" t="n">
        <v>175</v>
      </c>
      <c r="I475" s="5" t="n">
        <v>382.9</v>
      </c>
      <c r="J475" s="5" t="n">
        <v>95.2</v>
      </c>
      <c r="K475" s="3" t="inlineStr">
        <is>
          <t>nan</t>
        </is>
      </c>
      <c r="L475" s="6">
        <f>HYPERLINK("https://fin.land.naver.com/articles/2651585595",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세종몽땅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155000</v>
      </c>
      <c r="G493" s="4" t="n">
        <v>3444</v>
      </c>
      <c r="H493" s="4" t="n">
        <v>1042</v>
      </c>
      <c r="I493" s="5" t="n">
        <v>148.8</v>
      </c>
      <c r="J493" s="5" t="n">
        <v>66.59999999999999</v>
      </c>
      <c r="K493" s="3" t="inlineStr">
        <is>
          <t>세종 3생활권 인접 금남면 도암리 성장관리구역 토지</t>
        </is>
      </c>
      <c r="L493" s="6">
        <f>HYPERLINK("https://fin.land.naver.com/articles/2654605971",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미래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161400</v>
      </c>
      <c r="G494" s="4" t="n">
        <v>3444</v>
      </c>
      <c r="H494" s="4" t="n">
        <v>1042</v>
      </c>
      <c r="I494" s="5" t="n">
        <v>154.9</v>
      </c>
      <c r="J494" s="5" t="n">
        <v>66.59999999999999</v>
      </c>
      <c r="K494" s="3" t="inlineStr">
        <is>
          <t>도암리 마을회관앞 주위 단독주택 소재하는곳</t>
        </is>
      </c>
      <c r="L494" s="6">
        <f>HYPERLINK("https://fin.land.naver.com/articles/2651041749",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원내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HYPERLINK("https://fin.land.naver.com/articles/2656243198",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수자인시티</t>
        </is>
      </c>
      <c r="P511" s="4" t="n">
        <v>1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HYPERLINK("https://fin.land.naver.com/articles/2655888283",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다산</t>
        </is>
      </c>
      <c r="P513" s="4" t="n">
        <v>4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27000</v>
      </c>
      <c r="G517" s="4" t="n">
        <v>1769</v>
      </c>
      <c r="H517" s="4" t="n">
        <v>535</v>
      </c>
      <c r="I517" s="5" t="n">
        <v>50.5</v>
      </c>
      <c r="J517" s="5" t="n">
        <v>47.8</v>
      </c>
      <c r="K517" s="3" t="inlineStr">
        <is>
          <t>세종시 남세종 IC인근 진입로 좋은 토지 매매</t>
        </is>
      </c>
      <c r="L517" s="6">
        <f>HYPERLINK("https://fin.land.naver.com/articles/2653297264",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갤러리</t>
        </is>
      </c>
      <c r="P517" s="4" t="n">
        <v>1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32000</v>
      </c>
      <c r="G518" s="4" t="n">
        <v>1769</v>
      </c>
      <c r="H518" s="4" t="n">
        <v>535</v>
      </c>
      <c r="I518" s="5" t="n">
        <v>59.8</v>
      </c>
      <c r="J518" s="5" t="n">
        <v>47.8</v>
      </c>
      <c r="K518" s="3" t="inlineStr">
        <is>
          <t>답으로 도심과 가까운 토지 가격조정가능</t>
        </is>
      </c>
      <c r="L518" s="6">
        <f>HYPERLINK("https://fin.land.naver.com/articles/2653644476",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고운동리치세종</t>
        </is>
      </c>
      <c r="P518" s="4" t="n">
        <v>2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320</v>
      </c>
      <c r="H549" s="4" t="n">
        <v>97</v>
      </c>
      <c r="I549" s="5" t="n">
        <v>701</v>
      </c>
      <c r="J549" s="5" t="n">
        <v>260</v>
      </c>
      <c r="K549" s="3" t="inlineStr">
        <is>
          <t>도로접 도시.1종일반주거지역 알토란 토지,다목적용도 가능</t>
        </is>
      </c>
      <c r="L549" s="6">
        <f>HYPERLINK("https://fin.land.naver.com/articles/2653418124",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고운맘</t>
        </is>
      </c>
      <c r="P549" s="4" t="n">
        <v>1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335000</v>
      </c>
      <c r="G550" s="4" t="n">
        <v>1574</v>
      </c>
      <c r="H550" s="4" t="n">
        <v>476</v>
      </c>
      <c r="I550" s="5" t="n">
        <v>703.8</v>
      </c>
      <c r="J550" s="5" t="n">
        <v>260</v>
      </c>
      <c r="K550" s="3" t="inlineStr">
        <is>
          <t>세종시 금남면 발산리 일대 1종주거지역 대형평수</t>
        </is>
      </c>
      <c r="L550" s="6">
        <f>HYPERLINK("https://fin.land.naver.com/articles/2654822916",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황소플러스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총3필지매매,대지와 답,전원주택포함매매</t>
        </is>
      </c>
      <c r="L551" s="6">
        <f>HYPERLINK("https://fin.land.naver.com/articles/2655604918",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담뜰</t>
        </is>
      </c>
      <c r="P551" s="4" t="n">
        <v>2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nan</t>
        </is>
      </c>
      <c r="L552" s="6">
        <f>HYPERLINK("https://fin.land.naver.com/articles/2653432908",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335000</v>
      </c>
      <c r="G554" s="4" t="n">
        <v>1574</v>
      </c>
      <c r="H554" s="4" t="n">
        <v>476</v>
      </c>
      <c r="I554" s="5" t="n">
        <v>703.8</v>
      </c>
      <c r="J554" s="5" t="n">
        <v>195.9</v>
      </c>
      <c r="K554" s="3" t="inlineStr">
        <is>
          <t>도시1종주거지로 음식점, 사무실, 다가구 등</t>
        </is>
      </c>
      <c r="L554" s="6">
        <f>HYPERLINK("https://fin.land.naver.com/articles/2654544763",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110000</v>
      </c>
      <c r="G560" s="4" t="n">
        <v>904</v>
      </c>
      <c r="H560" s="4" t="n">
        <v>273</v>
      </c>
      <c r="I560" s="5" t="n">
        <v>402.9</v>
      </c>
      <c r="J560" s="5" t="n">
        <v>239.2</v>
      </c>
      <c r="K560" s="3" t="inlineStr">
        <is>
          <t>지목대 계획관리 코너 가시성굿 접근성양호 귀한나대지</t>
        </is>
      </c>
      <c r="L560" s="6">
        <f>HYPERLINK("https://fin.land.naver.com/articles/2654939761",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98000</v>
      </c>
      <c r="G561" s="4" t="n">
        <v>904</v>
      </c>
      <c r="H561" s="4" t="n">
        <v>273</v>
      </c>
      <c r="I561" s="5" t="n">
        <v>359</v>
      </c>
      <c r="J561" s="5" t="n">
        <v>239.2</v>
      </c>
      <c r="K561" s="3" t="inlineStr">
        <is>
          <t>조율최대 계획관리지역 전원주택 카페등 청주 오송 근거리 매매가</t>
        </is>
      </c>
      <c r="L561" s="6">
        <f>HYPERLINK("https://fin.land.naver.com/articles/2652101196",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홍기표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Point 수변 카페, 전원주택, 가든 등 신축 가능, 도로접 접근성좋음</t>
        </is>
      </c>
      <c r="L567" s="6">
        <f>HYPERLINK("https://fin.land.naver.com/articles/2654669241",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도마호반</t>
        </is>
      </c>
      <c r="P567" s="4" t="n">
        <v>2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110000</v>
      </c>
      <c r="G568" s="4" t="n">
        <v>1218</v>
      </c>
      <c r="H568" s="4" t="n">
        <v>368</v>
      </c>
      <c r="I568" s="5" t="n">
        <v>298.9</v>
      </c>
      <c r="J568" s="5" t="n">
        <v>110</v>
      </c>
      <c r="K568" s="3" t="inlineStr">
        <is>
          <t>금강 조망 최적의 위치</t>
        </is>
      </c>
      <c r="L568" s="6">
        <f>HYPERLINK("https://fin.land.naver.com/articles/2655630405",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115000</v>
      </c>
      <c r="G569" s="4" t="n">
        <v>1218</v>
      </c>
      <c r="H569" s="4" t="n">
        <v>368</v>
      </c>
      <c r="I569" s="5" t="n">
        <v>312.5</v>
      </c>
      <c r="J569" s="5" t="n">
        <v>110</v>
      </c>
      <c r="K569" s="3" t="inlineStr">
        <is>
          <t>세종 금남면 부용리 조망 좋은 생산관리 토지</t>
        </is>
      </c>
      <c r="L569" s="6">
        <f>HYPERLINK("https://fin.land.naver.com/articles/2655655239",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세종몽땅</t>
        </is>
      </c>
      <c r="P569" s="4" t="n">
        <v>1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행복도시 10분거리 대지. 교통좋고  투자가치 높은 추천 매물입니다.</t>
        </is>
      </c>
      <c r="L621" s="6">
        <f>HYPERLINK("https://fin.land.naver.com/articles/2655593345",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새롬삼둥이</t>
        </is>
      </c>
      <c r="P621" s="4" t="n">
        <v>2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도로 접한 각지 토지</t>
        </is>
      </c>
      <c r="L622" s="6">
        <f>HYPERLINK("https://fin.land.naver.com/articles/2652106285",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해들일번지</t>
        </is>
      </c>
      <c r="P622" s="4" t="n">
        <v>1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도심인접 저렴한 주택용지</t>
        </is>
      </c>
      <c r="L633" s="6">
        <f>HYPERLINK("https://fin.land.naver.com/articles/2653363163",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황소플러스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지목 대,컨테이너2대 있음</t>
        </is>
      </c>
      <c r="L634" s="6">
        <f>HYPERLINK("https://fin.land.naver.com/articles/2655888824",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다산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41000</v>
      </c>
      <c r="G681" s="4" t="n">
        <v>539</v>
      </c>
      <c r="H681" s="4" t="n">
        <v>163</v>
      </c>
      <c r="I681" s="5" t="n">
        <v>251.5</v>
      </c>
      <c r="J681" s="5" t="n">
        <v>98.3</v>
      </c>
      <c r="K681" s="3" t="inlineStr">
        <is>
          <t>도로 접한 투자가치 좋은 토지</t>
        </is>
      </c>
      <c r="L681" s="6">
        <f>HYPERLINK("https://fin.land.naver.com/articles/2655612386",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메트로무소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20000</v>
      </c>
      <c r="G682" s="4" t="n">
        <v>539</v>
      </c>
      <c r="H682" s="4" t="n">
        <v>163</v>
      </c>
      <c r="I682" s="5" t="n">
        <v>122.7</v>
      </c>
      <c r="J682" s="5" t="n">
        <v>98.3</v>
      </c>
      <c r="K682" s="3" t="inlineStr">
        <is>
          <t>자연취락지구포장도로 접근, 남세종IC세종생활권 연계 우수</t>
        </is>
      </c>
      <c r="L682" s="6">
        <f>HYPERLINK("https://fin.land.naver.com/articles/2651259348",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세종소담황금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</v>
      </c>
      <c r="G687" s="4" t="n">
        <v>1157</v>
      </c>
      <c r="H687" s="4" t="n">
        <v>350</v>
      </c>
      <c r="I687" s="5" t="n">
        <v>70</v>
      </c>
      <c r="J687" s="5" t="n">
        <v>35.1</v>
      </c>
      <c r="K687" s="3" t="inlineStr">
        <is>
          <t>용담리. 지가 상승 지역으로 투자 강추</t>
        </is>
      </c>
      <c r="L687" s="6">
        <f>HYPERLINK("https://fin.land.naver.com/articles/2652722784",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내동굿모닝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21000</v>
      </c>
      <c r="G688" s="4" t="n">
        <v>1157</v>
      </c>
      <c r="H688" s="4" t="n">
        <v>350</v>
      </c>
      <c r="I688" s="5" t="n">
        <v>60</v>
      </c>
      <c r="J688" s="5" t="n">
        <v>35.1</v>
      </c>
      <c r="K688" s="3" t="inlineStr">
        <is>
          <t>대토용토지 추천</t>
        </is>
      </c>
      <c r="L688" s="6">
        <f>HYPERLINK("https://fin.land.naver.com/articles/2651107543",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창고의여왕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54000</v>
      </c>
      <c r="G733" s="4" t="n">
        <v>2094</v>
      </c>
      <c r="H733" s="4" t="n">
        <v>633</v>
      </c>
      <c r="I733" s="5" t="n">
        <v>85.3</v>
      </c>
      <c r="J733" s="5" t="n">
        <v>52.7</v>
      </c>
      <c r="K733" s="3" t="inlineStr">
        <is>
          <t>금강조망권,전원생활 또는 투자에 적합한 입지</t>
        </is>
      </c>
      <c r="L733" s="6">
        <f>HYPERLINK("https://fin.land.naver.com/articles/2651677646",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45000</v>
      </c>
      <c r="G734" s="4" t="n">
        <v>2191</v>
      </c>
      <c r="H734" s="4" t="n">
        <v>663</v>
      </c>
      <c r="I734" s="5" t="n">
        <v>67.90000000000001</v>
      </c>
      <c r="J734" s="5" t="n">
        <v>52.7</v>
      </c>
      <c r="K734" s="3" t="inlineStr">
        <is>
          <t>진입도로 돼있고요 전원주택지  세종시청 15분 거리입니다</t>
        </is>
      </c>
      <c r="L734" s="6">
        <f>HYPERLINK("https://fin.land.naver.com/articles/2654323258",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세종 도심과 가까운 위치</t>
        </is>
      </c>
      <c r="L761" s="6">
        <f>HYPERLINK("https://fin.land.naver.com/articles/2652742966",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세종대평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호탄리 마을 인근에 시멘트 포장도로 잘 접함</t>
        </is>
      </c>
      <c r="L762" s="6">
        <f>HYPERLINK("https://fin.land.naver.com/articles/2655510863",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신안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도시지역,자연녹지,버섯하우스포함일괄매매</t>
        </is>
      </c>
      <c r="L774" s="6">
        <f>HYPERLINK("https://fin.land.naver.com/articles/2655494076",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힐스테이트행복</t>
        </is>
      </c>
      <c r="P774" s="4" t="n">
        <v>1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마을인근밭.6미터도로접.신도시지근거리지역.장기적투자관점.토지거래허가구역</t>
        </is>
      </c>
      <c r="L775" s="6">
        <f>HYPERLINK("https://fin.land.naver.com/articles/2654868475",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돈방석</t>
        </is>
      </c>
      <c r="P775" s="4" t="n">
        <v>3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67000</v>
      </c>
      <c r="G797" s="4" t="n">
        <v>1104</v>
      </c>
      <c r="H797" s="4" t="n">
        <v>334</v>
      </c>
      <c r="I797" s="5" t="n">
        <v>200.6</v>
      </c>
      <c r="J797" s="5" t="n">
        <v>58.5</v>
      </c>
      <c r="K797" s="3" t="inlineStr">
        <is>
          <t>사진 有, 토목공사 일부 완료된 공장용지 334형 매매</t>
        </is>
      </c>
      <c r="L797" s="6">
        <f>HYPERLINK("https://fin.land.naver.com/articles/2651813817",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태성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67000</v>
      </c>
      <c r="G798" s="4" t="n">
        <v>1124</v>
      </c>
      <c r="H798" s="4" t="n">
        <v>340</v>
      </c>
      <c r="I798" s="5" t="n">
        <v>197.1</v>
      </c>
      <c r="J798" s="5" t="n">
        <v>58.5</v>
      </c>
      <c r="K798" s="3" t="inlineStr">
        <is>
          <t>남이면 2순환로 인근, 토목완료, 2종근생가능, 제조업 창고 건축 용도</t>
        </is>
      </c>
      <c r="L798" s="6">
        <f>HYPERLINK("https://fin.land.naver.com/articles/2655500949",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최근 개발되고 있는 신분평지구인근으로 다양한 용도 가능한 귀한매물</t>
        </is>
      </c>
      <c r="L807" s="6">
        <f>HYPERLINK("https://fin.land.naver.com/articles/2655209726",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청주원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남이 가마교차로 인근 도로, 자연녹지, 건축 투자 등 다양한 용도 가능</t>
        </is>
      </c>
      <c r="L808" s="6">
        <f>HYPERLINK("https://fin.land.naver.com/articles/2655291476",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라인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6358</v>
      </c>
      <c r="H822" s="4" t="n">
        <v>1923</v>
      </c>
      <c r="I822" s="5" t="n">
        <v>62.4</v>
      </c>
      <c r="J822" s="5" t="n">
        <v>25.4</v>
      </c>
      <c r="K822" s="3" t="inlineStr">
        <is>
          <t>가좌리에 위치한 전원주택지 토지 급매</t>
        </is>
      </c>
      <c r="L822" s="6">
        <f>HYPERLINK("https://fin.land.naver.com/articles/2656162828",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대지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6357</v>
      </c>
      <c r="H823" s="4" t="n">
        <v>1923</v>
      </c>
      <c r="I823" s="5" t="n">
        <v>62.4</v>
      </c>
      <c r="J823" s="5" t="n">
        <v>25.4</v>
      </c>
      <c r="K823" s="3" t="inlineStr">
        <is>
          <t>17번 국도 가까운 부지(급매)</t>
        </is>
      </c>
      <c r="L823" s="6">
        <f>HYPERLINK("https://fin.land.naver.com/articles/2651877519",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조은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HYPERLINK("https://fin.land.naver.com/articles/2655253660",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HYPERLINK("https://fin.land.naver.com/articles/2652455294",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100000</v>
      </c>
      <c r="G834" s="4" t="n">
        <v>1237</v>
      </c>
      <c r="H834" s="4" t="n">
        <v>374</v>
      </c>
      <c r="I834" s="5" t="n">
        <v>267.4</v>
      </c>
      <c r="J834" s="5" t="n">
        <v>31.6</v>
      </c>
      <c r="K834" s="3" t="inlineStr">
        <is>
          <t>남이면 가좌리 광고효과 좋은 대로변 토지 매매.</t>
        </is>
      </c>
      <c r="L834" s="6">
        <f>HYPERLINK("https://fin.land.naver.com/articles/2654154168",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방서에이스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130000</v>
      </c>
      <c r="G835" s="4" t="n">
        <v>1237</v>
      </c>
      <c r="H835" s="4" t="n">
        <v>374</v>
      </c>
      <c r="I835" s="5" t="n">
        <v>347.6</v>
      </c>
      <c r="J835" s="5" t="n">
        <v>31.6</v>
      </c>
      <c r="K835" s="3" t="inlineStr">
        <is>
          <t>가시성 뛰어난 토지. 4차선 도로접</t>
        </is>
      </c>
      <c r="L835" s="6">
        <f>HYPERLINK("https://fin.land.naver.com/articles/2655152383",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터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대</t>
        </is>
      </c>
      <c r="E846" s="3" t="inlineStr">
        <is>
          <t>매매</t>
        </is>
      </c>
      <c r="F846" s="4" t="n">
        <v>205000</v>
      </c>
      <c r="G846" s="4" t="n">
        <v>4159</v>
      </c>
      <c r="H846" s="4" t="n">
        <v>1258</v>
      </c>
      <c r="I846" s="5" t="n">
        <v>163</v>
      </c>
      <c r="J846" s="5" t="n">
        <v>21.5</v>
      </c>
      <c r="K846" s="3" t="inlineStr">
        <is>
          <t>청주시 남이면 구미리 2차선도로변 근린생활시설허가 토지</t>
        </is>
      </c>
      <c r="L846" s="6">
        <f>HYPERLINK("https://fin.land.naver.com/articles/2656674823",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좋은선택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공장용지</t>
        </is>
      </c>
      <c r="E847" s="3" t="inlineStr">
        <is>
          <t>매매</t>
        </is>
      </c>
      <c r="F847" s="4" t="n">
        <v>544000</v>
      </c>
      <c r="G847" s="4" t="n">
        <v>11240</v>
      </c>
      <c r="H847" s="4" t="n">
        <v>3400</v>
      </c>
      <c r="I847" s="5" t="n">
        <v>160</v>
      </c>
      <c r="J847" s="5" t="n">
        <v>21.5</v>
      </c>
      <c r="K847" s="3" t="inlineStr">
        <is>
          <t>공장 인허가 완료된 토지매매</t>
        </is>
      </c>
      <c r="L847" s="6">
        <f>HYPERLINK("https://fin.land.naver.com/articles/2652774322",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금화랜드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1665</v>
      </c>
      <c r="H863" s="4" t="n">
        <v>504</v>
      </c>
      <c r="I863" s="5" t="n">
        <v>75.40000000000001</v>
      </c>
      <c r="J863" s="5" t="n">
        <v>17.8</v>
      </c>
      <c r="K863" s="3" t="inlineStr">
        <is>
          <t>2차선도로접,석곡사거리에서2km로 5분거리,토목공사완료</t>
        </is>
      </c>
      <c r="L863" s="6">
        <f>HYPERLINK("https://fin.land.naver.com/articles/2653652351",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GS자이</t>
        </is>
      </c>
      <c r="P863" s="4" t="n">
        <v>1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1667</v>
      </c>
      <c r="H864" s="4" t="n">
        <v>504</v>
      </c>
      <c r="I864" s="5" t="n">
        <v>75.40000000000001</v>
      </c>
      <c r="J864" s="5" t="n">
        <v>17.8</v>
      </c>
      <c r="K864" s="3" t="inlineStr">
        <is>
          <t>남청주 IC 인근, 청주 외곽순환로 접근성 최상 입지 토지 급매</t>
        </is>
      </c>
      <c r="L864" s="6">
        <f>HYPERLINK("https://fin.land.naver.com/articles/2653087489",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대지</t>
        </is>
      </c>
      <c r="P864" s="4" t="n">
        <v>4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168800</v>
      </c>
      <c r="G876" s="4" t="n">
        <v>3487</v>
      </c>
      <c r="H876" s="4" t="n">
        <v>1055</v>
      </c>
      <c r="I876" s="5" t="n">
        <v>160</v>
      </c>
      <c r="J876" s="5" t="n">
        <v>35.5</v>
      </c>
      <c r="K876" s="3" t="inlineStr">
        <is>
          <t>nan</t>
        </is>
      </c>
      <c r="L876" s="6">
        <f>HYPERLINK("https://fin.land.naver.com/articles/2652941172",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신화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137020</v>
      </c>
      <c r="G877" s="4" t="n">
        <v>3487</v>
      </c>
      <c r="H877" s="4" t="n">
        <v>1055</v>
      </c>
      <c r="I877" s="5" t="n">
        <v>129.9</v>
      </c>
      <c r="J877" s="5" t="n">
        <v>35.5</v>
      </c>
      <c r="K877" s="3" t="inlineStr">
        <is>
          <t>도로와 접한 모양 좋은 토지, 주변에 소규모공장 산재,공장,창고 등 추천</t>
        </is>
      </c>
      <c r="L877" s="6">
        <f>HYPERLINK("https://fin.land.naver.com/articles/2654599913",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바로그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남이면 외천리 작은 밭 급매 지적도상 도로 접미개설 주말농장등</t>
        </is>
      </c>
      <c r="L987" s="6">
        <f>HYPERLINK("https://fin.land.naver.com/articles/2656525931",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그린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nan</t>
        </is>
      </c>
      <c r="L988" s="6">
        <f>HYPERLINK("https://fin.land.naver.com/articles/2651009859",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노른자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22500</v>
      </c>
      <c r="G991" s="4" t="n">
        <v>620</v>
      </c>
      <c r="H991" s="4" t="n">
        <v>188</v>
      </c>
      <c r="I991" s="5" t="n">
        <v>119.7</v>
      </c>
      <c r="J991" s="5" t="n">
        <v>55.7</v>
      </c>
      <c r="K991" s="3" t="inlineStr">
        <is>
          <t>계획관리. 나대지</t>
        </is>
      </c>
      <c r="L991" s="6">
        <f>HYPERLINK("https://fin.land.naver.com/articles/2655630754",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정민</t>
        </is>
      </c>
      <c r="P991" s="4" t="n">
        <v>1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20600</v>
      </c>
      <c r="G992" s="4" t="n">
        <v>620</v>
      </c>
      <c r="H992" s="4" t="n">
        <v>188</v>
      </c>
      <c r="I992" s="5" t="n">
        <v>109.6</v>
      </c>
      <c r="J992" s="5" t="n">
        <v>55.7</v>
      </c>
      <c r="K992" s="3" t="inlineStr">
        <is>
          <t>계획관리지역, 도로인접, 신탄진네거리에서 차량으로 20분 거리</t>
        </is>
      </c>
      <c r="L992" s="6">
        <f>HYPERLINK("https://fin.land.naver.com/articles/2654547410",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대지</t>
        </is>
      </c>
      <c r="P992" s="4" t="n">
        <v>2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7008</v>
      </c>
      <c r="H1005" s="4" t="n">
        <v>2120</v>
      </c>
      <c r="I1005" s="5" t="n">
        <v>27.8</v>
      </c>
      <c r="J1005" s="5" t="n">
        <v>3.2</v>
      </c>
      <c r="K1005" s="3" t="inlineStr">
        <is>
          <t>도로접한 임야 매매 합니다</t>
        </is>
      </c>
      <c r="L1005" s="6">
        <f>HYPERLINK("https://fin.land.naver.com/articles/2651026639",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수피아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4400</v>
      </c>
      <c r="H1006" s="4" t="n">
        <v>1331</v>
      </c>
      <c r="I1006" s="5" t="n">
        <v>44.3</v>
      </c>
      <c r="J1006" s="5" t="n">
        <v>3.2</v>
      </c>
      <c r="K1006" s="3" t="inlineStr">
        <is>
          <t>남이면 척산리 토목완료 임야 연접2필지 7,008㎡ 5억9천만원</t>
        </is>
      </c>
      <c r="L1006" s="6">
        <f>HYPERLINK("https://fin.land.naver.com/articles/2656028574",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일등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643</v>
      </c>
      <c r="H1019" s="4" t="n">
        <v>195</v>
      </c>
      <c r="I1019" s="5" t="n">
        <v>348.7</v>
      </c>
      <c r="J1019" s="5" t="n">
        <v>278</v>
      </c>
      <c r="K1019" s="3" t="inlineStr">
        <is>
          <t>급매매 큰땅입니다</t>
        </is>
      </c>
      <c r="L1019" s="6">
        <f>HYPERLINK("https://fin.land.naver.com/articles/2654114661",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킹세종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535</v>
      </c>
      <c r="H1020" s="4" t="n">
        <v>162</v>
      </c>
      <c r="I1020" s="5" t="n">
        <v>419.8</v>
      </c>
      <c r="J1020" s="5" t="n">
        <v>278</v>
      </c>
      <c r="K1020" s="3" t="inlineStr">
        <is>
          <t>162.1p, 평단가 낮은 다정동 급매 토지</t>
        </is>
      </c>
      <c r="L1020" s="6">
        <f>HYPERLINK("https://fin.land.naver.com/articles/2654897667",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다정동에서 귀한 정남향 택지 I 공원을 크게 품은 지</t>
        </is>
      </c>
      <c r="L1022" s="6">
        <f>HYPERLINK("https://fin.land.naver.com/articles/2655943140",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세종신한</t>
        </is>
      </c>
      <c r="P1022" s="4" t="n">
        <v>3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가격좋은 조용한 위치 토지매매</t>
        </is>
      </c>
      <c r="L1023" s="6">
        <f>HYPERLINK("https://fin.land.naver.com/articles/2654927950",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총 90.9p, 다정동 조용한 단독주택지, 정남향</t>
        </is>
      </c>
      <c r="L1024" s="6">
        <f>HYPERLINK("https://fin.land.naver.com/articles/2652842480",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총 87.9p, 토지 초급매, 추천매물</t>
        </is>
      </c>
      <c r="L1028" s="6">
        <f>HYPERLINK("https://fin.land.naver.com/articles/2654897202",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저렴한매매 가격조정가능</t>
        </is>
      </c>
      <c r="L1029" s="6">
        <f>HYPERLINK("https://fin.land.naver.com/articles/2654749132",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고운동리치세종</t>
        </is>
      </c>
      <c r="P1029" s="4" t="n">
        <v>3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조율가능 편의시설옆 건축하기 좋은 모양</t>
        </is>
      </c>
      <c r="L1031" s="6">
        <f>HYPERLINK("https://fin.land.naver.com/articles/2651087752",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조용한 단독주택지,급매</t>
        </is>
      </c>
      <c r="L1032" s="6">
        <f>HYPERLINK("https://fin.land.naver.com/articles/2654512640",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세종금주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368</v>
      </c>
      <c r="H1034" s="4" t="n">
        <v>111</v>
      </c>
      <c r="I1034" s="5" t="n">
        <v>603.6</v>
      </c>
      <c r="J1034" s="5" t="n">
        <v>341.2</v>
      </c>
      <c r="K1034" s="3" t="inlineStr">
        <is>
          <t>111.8p, 삼거리 코너, 정남향, 다정동 단독주택 토지매매</t>
        </is>
      </c>
      <c r="L1034" s="6">
        <f>HYPERLINK("https://fin.land.naver.com/articles/2654225284",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369</v>
      </c>
      <c r="H1035" s="4" t="n">
        <v>112</v>
      </c>
      <c r="I1035" s="5" t="n">
        <v>598.2</v>
      </c>
      <c r="J1035" s="5" t="n">
        <v>341.2</v>
      </c>
      <c r="K1035" s="3" t="inlineStr">
        <is>
          <t>코너 택지 개방감 일조권 확보 I 정부세종청사 세종호수공원 차량 10</t>
        </is>
      </c>
      <c r="L1035" s="6">
        <f>HYPERLINK("https://fin.land.naver.com/articles/2655996250",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세종신한</t>
        </is>
      </c>
      <c r="P1035" s="4" t="n">
        <v>3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83625</v>
      </c>
      <c r="G1038" s="4" t="n">
        <v>368</v>
      </c>
      <c r="H1038" s="4" t="n">
        <v>111</v>
      </c>
      <c r="I1038" s="5" t="n">
        <v>753.4</v>
      </c>
      <c r="J1038" s="5" t="n">
        <v>326</v>
      </c>
      <c r="K1038" s="3" t="inlineStr">
        <is>
          <t>코너자리 위치 좋음, 넓은토지</t>
        </is>
      </c>
      <c r="L1038" s="6">
        <f>HYPERLINK("https://fin.land.naver.com/articles/2654222787",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명진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83000</v>
      </c>
      <c r="G1039" s="4" t="n">
        <v>368</v>
      </c>
      <c r="H1039" s="4" t="n">
        <v>111</v>
      </c>
      <c r="I1039" s="5" t="n">
        <v>747.7</v>
      </c>
      <c r="J1039" s="5" t="n">
        <v>326</v>
      </c>
      <c r="K1039" s="3" t="inlineStr">
        <is>
          <t>다정동 조용한 위치 단독주택 매매, 코너위치</t>
        </is>
      </c>
      <c r="L1039" s="6">
        <f>HYPERLINK("https://fin.land.naver.com/articles/2650890648",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총 84.8p, 다정동 입지 좋은 단독주태 토지</t>
        </is>
      </c>
      <c r="L1041" s="6">
        <f>HYPERLINK("https://fin.land.naver.com/articles/2654927003",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69500</v>
      </c>
      <c r="G1042" s="4" t="n">
        <v>279</v>
      </c>
      <c r="H1042" s="4" t="n">
        <v>84</v>
      </c>
      <c r="I1042" s="5" t="n">
        <v>827.4</v>
      </c>
      <c r="J1042" s="5" t="n">
        <v>304.6</v>
      </c>
      <c r="K1042" s="3" t="inlineStr">
        <is>
          <t>84.8p, 정남향, 다정동 단독주택지</t>
        </is>
      </c>
      <c r="L1042" s="6">
        <f>HYPERLINK("https://fin.land.naver.com/articles/2653565355",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69700</v>
      </c>
      <c r="G1043" s="4" t="n">
        <v>279</v>
      </c>
      <c r="H1043" s="4" t="n">
        <v>84</v>
      </c>
      <c r="I1043" s="5" t="n">
        <v>829.8</v>
      </c>
      <c r="J1043" s="5" t="n">
        <v>304.6</v>
      </c>
      <c r="K1043" s="3" t="inlineStr">
        <is>
          <t>다정동 접근성 좋은 주택지 매매</t>
        </is>
      </c>
      <c r="L1043" s="6">
        <f>HYPERLINK("https://fin.land.naver.com/articles/2652651256",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태양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73000</v>
      </c>
      <c r="G1056" s="4" t="n">
        <v>315</v>
      </c>
      <c r="H1056" s="4" t="n">
        <v>95</v>
      </c>
      <c r="I1056" s="5" t="n">
        <v>768.4</v>
      </c>
      <c r="J1056" s="5" t="n">
        <v>341.2</v>
      </c>
      <c r="K1056" s="3" t="inlineStr">
        <is>
          <t>95.5p, 유치원 맞은편, 가운데 토지</t>
        </is>
      </c>
      <c r="L1056" s="6">
        <f>HYPERLINK("https://fin.land.naver.com/articles/2654717356",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nan</t>
        </is>
      </c>
      <c r="L1057" s="6">
        <f>HYPERLINK("https://fin.land.naver.com/articles/2655007233",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디아트성심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341.2</v>
      </c>
      <c r="K1058" s="3" t="inlineStr">
        <is>
          <t>다정동 인기있는 단독주택, 명당터, 공원과 유치원 근처, 힐링</t>
        </is>
      </c>
      <c r="L1058" s="6">
        <f>HYPERLINK("https://fin.land.naver.com/articles/2654623538",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풍경채대지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총 95.5p, 조율가능, 다정동 단독주택지</t>
        </is>
      </c>
      <c r="L1059" s="6">
        <f>HYPERLINK("https://fin.land.naver.com/articles/2654703670",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64000</v>
      </c>
      <c r="G1061" s="4" t="n">
        <v>315</v>
      </c>
      <c r="H1061" s="4" t="n">
        <v>95</v>
      </c>
      <c r="I1061" s="5" t="n">
        <v>673.7</v>
      </c>
      <c r="J1061" s="5" t="n">
        <v>318.9</v>
      </c>
      <c r="K1061" s="3" t="inlineStr">
        <is>
          <t>총 95.5p, 유치원 인근 다정동 토지매매</t>
        </is>
      </c>
      <c r="L1061" s="6">
        <f>HYPERLINK("https://fin.land.naver.com/articles/2655487391",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49000</v>
      </c>
      <c r="G1062" s="4" t="n">
        <v>315</v>
      </c>
      <c r="H1062" s="4" t="n">
        <v>95</v>
      </c>
      <c r="I1062" s="5" t="n">
        <v>515.8</v>
      </c>
      <c r="J1062" s="5" t="n">
        <v>318.9</v>
      </c>
      <c r="K1062" s="3" t="inlineStr">
        <is>
          <t>급매 조율가능 조용한 선호하는 안쪽위치</t>
        </is>
      </c>
      <c r="L1062" s="6">
        <f>HYPERLINK("https://fin.land.naver.com/articles/2652419011",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세종스타</t>
        </is>
      </c>
      <c r="P1062" s="4" t="n">
        <v>2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41000</v>
      </c>
      <c r="G1065" s="4" t="n">
        <v>374</v>
      </c>
      <c r="H1065" s="4" t="n">
        <v>113</v>
      </c>
      <c r="I1065" s="5" t="n">
        <v>362.8</v>
      </c>
      <c r="J1065" s="5" t="n">
        <v>353.7</v>
      </c>
      <c r="K1065" s="3" t="inlineStr">
        <is>
          <t>다정동 전면 야생화 만발한  언덕,  급매매 단독주택지</t>
        </is>
      </c>
      <c r="L1065" s="6">
        <f>HYPERLINK("https://fin.land.naver.com/articles/2656330538",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킹세종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급매 다정동 전원주택토지임.</t>
        </is>
      </c>
      <c r="L1066" s="6">
        <f>HYPERLINK("https://fin.land.naver.com/articles/2653163964",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태흥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총 113.3p, 조율가능, 주유소인근, 다정동 단독주택지</t>
        </is>
      </c>
      <c r="L1067" s="6">
        <f>HYPERLINK("https://fin.land.naver.com/articles/2653561661",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53000</v>
      </c>
      <c r="G1068" s="4" t="n">
        <v>374</v>
      </c>
      <c r="H1068" s="4" t="n">
        <v>113</v>
      </c>
      <c r="I1068" s="5" t="n">
        <v>469</v>
      </c>
      <c r="J1068" s="5" t="n">
        <v>353.7</v>
      </c>
      <c r="K1068" s="3" t="inlineStr">
        <is>
          <t>113.3p, 주유소 맞은편. 조율가능</t>
        </is>
      </c>
      <c r="L1068" s="6">
        <f>HYPERLINK("https://fin.land.naver.com/articles/2654925319",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세종 다정동 단독주택 부지로 주목할 대지 매매</t>
        </is>
      </c>
      <c r="L1069" s="6">
        <f>HYPERLINK("https://fin.land.naver.com/articles/2654266239",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세종몽땅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조율가능 남향 코너각지 천조망가능 최상입지</t>
        </is>
      </c>
      <c r="L1079" s="6">
        <f>HYPERLINK("https://fin.land.naver.com/articles/2655021747",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100p, 도담동 말발굽토지, 왼쪽 사거리 코너자리</t>
        </is>
      </c>
      <c r="L1080" s="6">
        <f>HYPERLINK("https://fin.land.naver.com/articles/2653566973",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nan</t>
        </is>
      </c>
      <c r="L1081" s="6">
        <f>HYPERLINK("https://fin.land.naver.com/articles/2652567664",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진달래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말발굽 정남향 귀한 토지, 조율가능</t>
        </is>
      </c>
      <c r="L1082" s="6">
        <f>HYPERLINK("https://fin.land.naver.com/articles/2651903895",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99.1p, 도담동 말발굽 토지, 공원 보행로 접해 있음</t>
        </is>
      </c>
      <c r="L1083" s="6">
        <f>HYPERLINK("https://fin.land.naver.com/articles/2653565954",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조율가능 도담동 말발굽내 반달모양 최선호위치</t>
        </is>
      </c>
      <c r="L1086" s="6">
        <f>HYPERLINK("https://fin.land.naver.com/articles/2656123757",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세종스타</t>
        </is>
      </c>
      <c r="P1086" s="4" t="n">
        <v>3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총 92.1p, 말발굽 최고입지, 넓은 공원 인근</t>
        </is>
      </c>
      <c r="L1088" s="6">
        <f>HYPERLINK("https://fin.land.naver.com/articles/2653682295",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명진</t>
        </is>
      </c>
      <c r="P1088" s="4" t="n">
        <v>1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329</v>
      </c>
      <c r="H1095" s="4" t="n">
        <v>100</v>
      </c>
      <c r="I1095" s="5" t="n">
        <v>800</v>
      </c>
      <c r="J1095" s="5" t="n">
        <v>366.9</v>
      </c>
      <c r="K1095" s="3" t="inlineStr">
        <is>
          <t>99.9p, 유.초등학교 인근, 사거리 코너자리</t>
        </is>
      </c>
      <c r="L1095" s="6">
        <f>HYPERLINK("https://fin.land.naver.com/articles/2654709547",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330</v>
      </c>
      <c r="H1097" s="4" t="n">
        <v>100</v>
      </c>
      <c r="I1097" s="5" t="n">
        <v>800</v>
      </c>
      <c r="J1097" s="5" t="n">
        <v>366.9</v>
      </c>
      <c r="K1097" s="3" t="inlineStr">
        <is>
          <t>양지초 양지유치원 정문 건너편 최선호 위치 주변시세보다 저렴 추천매물</t>
        </is>
      </c>
      <c r="L1097" s="6">
        <f>HYPERLINK("https://fin.land.naver.com/articles/2656123728",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120000</v>
      </c>
      <c r="G1099" s="4" t="n">
        <v>382</v>
      </c>
      <c r="H1099" s="4" t="n">
        <v>116</v>
      </c>
      <c r="I1099" s="5" t="n">
        <v>1034.5</v>
      </c>
      <c r="J1099" s="5" t="n">
        <v>363</v>
      </c>
      <c r="K1099" s="3" t="inlineStr">
        <is>
          <t>nan</t>
        </is>
      </c>
      <c r="L1099" s="6">
        <f>HYPERLINK("https://fin.land.naver.com/articles/2653535457",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세종산울랜드마크</t>
        </is>
      </c>
      <c r="P1099" s="4" t="n">
        <v>3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382</v>
      </c>
      <c r="H1100" s="4" t="n">
        <v>116</v>
      </c>
      <c r="I1100" s="5" t="n">
        <v>732.8</v>
      </c>
      <c r="J1100" s="5" t="n">
        <v>363</v>
      </c>
      <c r="K1100" s="3" t="inlineStr">
        <is>
          <t>급매, 총 116p, 대형토지, 도담동 말발굽토지, 조율가능</t>
        </is>
      </c>
      <c r="L1100" s="6">
        <f>HYPERLINK("https://fin.land.naver.com/articles/2651944411",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263000</v>
      </c>
      <c r="G1103" s="4" t="n">
        <v>500</v>
      </c>
      <c r="H1103" s="4" t="n">
        <v>151</v>
      </c>
      <c r="I1103" s="5" t="n">
        <v>1741.7</v>
      </c>
      <c r="J1103" s="5" t="n">
        <v>735.9</v>
      </c>
      <c r="K1103" s="3" t="inlineStr">
        <is>
          <t>nan</t>
        </is>
      </c>
      <c r="L1103" s="6">
        <f>HYPERLINK("https://fin.land.naver.com/articles/2653506334",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해밀세종신도시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320000</v>
      </c>
      <c r="G1104" s="4" t="n">
        <v>500</v>
      </c>
      <c r="H1104" s="4" t="n">
        <v>151</v>
      </c>
      <c r="I1104" s="5" t="n">
        <v>2119.2</v>
      </c>
      <c r="J1104" s="5" t="n">
        <v>735.9</v>
      </c>
      <c r="K1104" s="3" t="inlineStr">
        <is>
          <t>명성공인, 도담동 근생용지 추천 매물</t>
        </is>
      </c>
      <c r="L1104" s="6">
        <f>HYPERLINK("https://fin.land.naver.com/articles/2654061409",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명성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총 98.9p, 도담동 위치좋은 코너자리 토지</t>
        </is>
      </c>
      <c r="L1107" s="6">
        <f>HYPERLINK("https://fin.land.naver.com/articles/2654898842",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명진</t>
        </is>
      </c>
      <c r="P1107" s="4" t="n">
        <v>1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적극조율가능 충대병원인근 BRT도보가능</t>
        </is>
      </c>
      <c r="L1108" s="6">
        <f>HYPERLINK("https://fin.land.naver.com/articles/2654978749",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삼거리 코너 입지, 도담동 단독주택 매매</t>
        </is>
      </c>
      <c r="L1111" s="6">
        <f>HYPERLINK("https://fin.land.naver.com/articles/2654218536",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도담동 입지 좋은 단독주택지, 조율가능</t>
        </is>
      </c>
      <c r="L1112" s="6">
        <f>HYPERLINK("https://fin.land.naver.com/articles/2654049634",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산조망 코너각지 정남향 입지최상</t>
        </is>
      </c>
      <c r="L1113" s="6">
        <f>HYPERLINK("https://fin.land.naver.com/articles/2656123691",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도담동근생용지 주변입지좋아요. 가격조정가능</t>
        </is>
      </c>
      <c r="L1114" s="6">
        <f>HYPERLINK("https://fin.land.naver.com/articles/2656232398",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고운동리치세종</t>
        </is>
      </c>
      <c r="P1114" s="4" t="n">
        <v>1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입지 좋은 도담동 근린생활용지 토지 매매, 대로변</t>
        </is>
      </c>
      <c r="L1115" s="6">
        <f>HYPERLINK("https://fin.land.naver.com/articles/2655487648",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도담동 근린생활용지</t>
        </is>
      </c>
      <c r="L1117" s="6">
        <f>HYPERLINK("https://fin.land.naver.com/articles/2653002307",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OK세종 사무소</t>
        </is>
      </c>
      <c r="P1117" s="4" t="n">
        <v>2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세종충남대학교병원 인접, 의료 운동 자동차 업종 추천</t>
        </is>
      </c>
      <c r="L1118" s="6">
        <f>HYPERLINK("https://fin.land.naver.com/articles/2655873307",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입지 좋은 도담동 단독주택 토지매매</t>
        </is>
      </c>
      <c r="L1122" s="6">
        <f>HYPERLINK("https://fin.land.naver.com/articles/2656267537",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89.5p, 사거리 코너 입지, 위치 굿, 단지 바로 앞</t>
        </is>
      </c>
      <c r="L1123" s="6">
        <f>HYPERLINK("https://fin.land.naver.com/articles/2654220003",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도담동 생활권 입지 좋은 단독주택지 매매</t>
        </is>
      </c>
      <c r="L1127" s="6">
        <f>HYPERLINK("https://fin.land.naver.com/articles/2653567685",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사거리 코너, 생활권 좋은 위치 단독주택지</t>
        </is>
      </c>
      <c r="L1128" s="6">
        <f>HYPERLINK("https://fin.land.naver.com/articles/2653681062",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명진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코너 유치원 홈플러스 늘봄초인근 조율가능</t>
        </is>
      </c>
      <c r="L1129" s="6">
        <f>HYPERLINK("https://fin.land.naver.com/articles/2655236017",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세종스타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103.7p, 단지 맞은편, 유치원 인근</t>
        </is>
      </c>
      <c r="L1130" s="6">
        <f>HYPERLINK("https://fin.land.naver.com/articles/2654716583",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총 103.7p, 정남향, 충대병원 홈플러스 인근</t>
        </is>
      </c>
      <c r="L1131" s="6">
        <f>HYPERLINK("https://fin.land.naver.com/articles/2653683816",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명진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90000</v>
      </c>
      <c r="G1135" s="4" t="n">
        <v>315</v>
      </c>
      <c r="H1135" s="4" t="n">
        <v>95</v>
      </c>
      <c r="I1135" s="5" t="n">
        <v>947.4</v>
      </c>
      <c r="J1135" s="5" t="n">
        <v>391.1</v>
      </c>
      <c r="K1135" s="3" t="inlineStr">
        <is>
          <t>95.7p, 도담동 홈플러스인근, 단독주택 토지매매</t>
        </is>
      </c>
      <c r="L1135" s="6">
        <f>HYPERLINK("https://fin.land.naver.com/articles/2654892301",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명진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315</v>
      </c>
      <c r="H1137" s="4" t="n">
        <v>95</v>
      </c>
      <c r="I1137" s="5" t="n">
        <v>736.8</v>
      </c>
      <c r="J1137" s="5" t="n">
        <v>391.1</v>
      </c>
      <c r="K1137" s="3" t="inlineStr">
        <is>
          <t>강추매물, 가격좋은 토지, 홈플인접</t>
        </is>
      </c>
      <c r="L1137" s="6">
        <f>HYPERLINK("https://fin.land.naver.com/articles/2651289273",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사이다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445</v>
      </c>
      <c r="H1147" s="4" t="n">
        <v>135</v>
      </c>
      <c r="I1147" s="5" t="n">
        <v>592.6</v>
      </c>
      <c r="J1147" s="5" t="n">
        <v>308</v>
      </c>
      <c r="K1147" s="3" t="inlineStr">
        <is>
          <t>135p, 넓은 단독주택 토지매매, 공원앞, 입지 굿</t>
        </is>
      </c>
      <c r="L1147" s="6">
        <f>HYPERLINK("https://fin.land.naver.com/articles/2653687042",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명진</t>
        </is>
      </c>
      <c r="P1147" s="4" t="n">
        <v>1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65000</v>
      </c>
      <c r="G1148" s="4" t="n">
        <v>445</v>
      </c>
      <c r="H1148" s="4" t="n">
        <v>135</v>
      </c>
      <c r="I1148" s="5" t="n">
        <v>481.5</v>
      </c>
      <c r="J1148" s="5" t="n">
        <v>308</v>
      </c>
      <c r="K1148" s="3" t="inlineStr">
        <is>
          <t>적극조율가능 공원앞 코너각지 135p</t>
        </is>
      </c>
      <c r="L1148" s="6">
        <f>HYPERLINK("https://fin.land.naver.com/articles/2655021890",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세종스타</t>
        </is>
      </c>
      <c r="P1148" s="4" t="n">
        <v>2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삼거리 코너, 위치 좋은 반곡동 토지매매</t>
        </is>
      </c>
      <c r="L1151" s="6">
        <f>HYPERLINK("https://fin.land.naver.com/articles/2654691212",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세종무지개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급매 코너각지 132p 추가조율가능</t>
        </is>
      </c>
      <c r="L1152" s="6">
        <f>HYPERLINK("https://fin.land.naver.com/articles/2655202403",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 옆조망 뒷조망 잘나오는곳 초등학교 인접 BRT 인접</t>
        </is>
      </c>
      <c r="L1158" s="6">
        <f>HYPERLINK("https://fin.land.naver.com/articles/2654654291",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초등학교 인접, 반곡동 토지매매, 지대 높음</t>
        </is>
      </c>
      <c r="L1159" s="6">
        <f>HYPERLINK("https://fin.land.naver.com/articles/2654704892",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지대높고트여있어 조망좋음. 건폐율50,용적률80</t>
        </is>
      </c>
      <c r="L1160" s="6">
        <f>HYPERLINK("https://fin.land.naver.com/articles/2655007668",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디아트성심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4200 남청주ic 5분 공장용지 물류센터 창고</t>
        </is>
      </c>
      <c r="L1182" s="6">
        <f>HYPERLINK("https://fin.land.naver.com/articles/2656023491",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반포더드림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남청주 ic 5분, 2차선에서 진입가능한 공장부지</t>
        </is>
      </c>
      <c r="L1183" s="6">
        <f>HYPERLINK("https://fin.land.naver.com/articles/2656001176",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토담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25000</v>
      </c>
      <c r="G1202" s="4" t="n">
        <v>1263</v>
      </c>
      <c r="H1202" s="4" t="n">
        <v>382</v>
      </c>
      <c r="I1202" s="5" t="n">
        <v>65.40000000000001</v>
      </c>
      <c r="J1202" s="5" t="n">
        <v>5.2</v>
      </c>
      <c r="K1202" s="3" t="inlineStr">
        <is>
          <t>즉시 신축 가능 매매 급매물 상.하수도 전기 기반공사 완료돼있고 건축허가</t>
        </is>
      </c>
      <c r="L1202" s="6">
        <f>HYPERLINK("https://fin.land.naver.com/articles/2654190350",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세종시삼성래미안</t>
        </is>
      </c>
      <c r="P1202" s="4" t="n">
        <v>1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60000</v>
      </c>
      <c r="G1203" s="4" t="n">
        <v>995</v>
      </c>
      <c r="H1203" s="4" t="n">
        <v>301</v>
      </c>
      <c r="I1203" s="5" t="n">
        <v>199.3</v>
      </c>
      <c r="J1203" s="5" t="n">
        <v>5.2</v>
      </c>
      <c r="K1203" s="3" t="inlineStr">
        <is>
          <t>건축허가 되어 있고 수도 오수 시설도 완비됨 전원주택지로 적합</t>
        </is>
      </c>
      <c r="L1203" s="6">
        <f>HYPERLINK("https://fin.land.naver.com/articles/2655731757",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도램마을</t>
        </is>
      </c>
      <c r="P1203" s="4" t="n">
        <v>2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160000</v>
      </c>
      <c r="G1207" s="4" t="n">
        <v>1058</v>
      </c>
      <c r="H1207" s="4" t="n">
        <v>320</v>
      </c>
      <c r="I1207" s="5" t="n">
        <v>500</v>
      </c>
      <c r="J1207" s="5" t="n">
        <v>53.4</v>
      </c>
      <c r="K1207" s="3" t="inlineStr">
        <is>
          <t>현재 전으로 사용중 두필지 전원주택분양 좋음, 사업용사용가능창고,사옥공장</t>
        </is>
      </c>
      <c r="L1207" s="6">
        <f>HYPERLINK("https://fin.land.naver.com/articles/2651044105",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원내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112000</v>
      </c>
      <c r="G1209" s="4" t="n">
        <v>1058</v>
      </c>
      <c r="H1209" s="4" t="n">
        <v>320</v>
      </c>
      <c r="I1209" s="5" t="n">
        <v>350</v>
      </c>
      <c r="J1209" s="5" t="n">
        <v>53.4</v>
      </c>
      <c r="K1209" s="3" t="inlineStr">
        <is>
          <t>정남향 도로접한 계획관리.성장관리지역 알토란 토지,가격조정가능</t>
        </is>
      </c>
      <c r="L1209" s="6">
        <f>HYPERLINK("https://fin.land.naver.com/articles/2655576973",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고운맘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남향의 반듯한 계획관리 토지. 투자용추천</t>
        </is>
      </c>
      <c r="L1211" s="6">
        <f>HYPERLINK("https://fin.land.naver.com/articles/2653462486",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세종금밭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금강변 부강금호로 인접, 약2km거리 철도 매포역과 부강생활체육공원 있음</t>
        </is>
      </c>
      <c r="L1212" s="6">
        <f>HYPERLINK("https://fin.land.naver.com/articles/2656258080",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월평랜드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계획관리자연취락 대지 및 기존주택, 산단세종오송 접근 우수</t>
        </is>
      </c>
      <c r="L1218" s="6">
        <f>HYPERLINK("https://fin.land.naver.com/articles/2650898603",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세종소담황금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남청주IC 자동차로 약17분거리10km</t>
        </is>
      </c>
      <c r="L1219" s="6">
        <f>HYPERLINK("https://fin.land.naver.com/articles/2654666500",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지장고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71200</v>
      </c>
      <c r="G1228" s="4" t="n">
        <v>3920</v>
      </c>
      <c r="H1228" s="4" t="n">
        <v>1186</v>
      </c>
      <c r="I1228" s="5" t="n">
        <v>60</v>
      </c>
      <c r="J1228" s="5" t="n">
        <v>25.8</v>
      </c>
      <c r="K1228" s="3" t="inlineStr">
        <is>
          <t>부강 매포역에서 차량 3분 마을 인접, 전원주택, 세컨하우스 수요많음</t>
        </is>
      </c>
      <c r="L1228" s="6">
        <f>HYPERLINK("https://fin.land.naver.com/articles/2654688238",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114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72000</v>
      </c>
      <c r="G1229" s="4" t="n">
        <v>3963</v>
      </c>
      <c r="H1229" s="4" t="n">
        <v>1199</v>
      </c>
      <c r="I1229" s="5" t="n">
        <v>60.1</v>
      </c>
      <c r="J1229" s="5" t="n">
        <v>25.8</v>
      </c>
      <c r="K1229" s="3" t="inlineStr">
        <is>
          <t>부강면노호리 생산관리지역 마을인접 가격조정가능</t>
        </is>
      </c>
      <c r="L1229" s="6">
        <f>HYPERLINK("https://fin.land.naver.com/articles/2654709778",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고운동리치세종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즉시 건축 가능한 공장 및 창고부지 계획관리지역 남청주 IC인근</t>
        </is>
      </c>
      <c r="L1257" s="6">
        <f>HYPERLINK("https://fin.land.naver.com/articles/2651924940",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대전토지로무소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남청주IC와 가까워 물류센터,공장 추천,계획관리지역의 토지</t>
        </is>
      </c>
      <c r="L1258" s="6">
        <f>HYPERLINK("https://fin.land.naver.com/articles/2654295080",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(주)미르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18800</v>
      </c>
      <c r="G1299" s="4" t="n">
        <v>1130</v>
      </c>
      <c r="H1299" s="4" t="n">
        <v>342</v>
      </c>
      <c r="I1299" s="5" t="n">
        <v>55</v>
      </c>
      <c r="J1299" s="5" t="n">
        <v>25</v>
      </c>
      <c r="K1299" s="3" t="inlineStr">
        <is>
          <t>nan</t>
        </is>
      </c>
      <c r="L1299" s="6">
        <f>HYPERLINK("https://fin.land.naver.com/articles/2653999588",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세종운좋은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390000</v>
      </c>
      <c r="G1301" s="4" t="n">
        <v>8024</v>
      </c>
      <c r="H1301" s="4" t="n">
        <v>2427</v>
      </c>
      <c r="I1301" s="5" t="n">
        <v>160.7</v>
      </c>
      <c r="J1301" s="5" t="n">
        <v>41.2</v>
      </c>
      <c r="K1301" s="3" t="inlineStr">
        <is>
          <t>공장 및 창고용지로 추천합니다</t>
        </is>
      </c>
      <c r="L1301" s="6">
        <f>HYPERLINK("https://fin.land.naver.com/articles/2653810140",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목장용지</t>
        </is>
      </c>
      <c r="E1302" s="3" t="inlineStr">
        <is>
          <t>매매</t>
        </is>
      </c>
      <c r="F1302" s="4" t="n">
        <v>196500</v>
      </c>
      <c r="G1302" s="4" t="n">
        <v>2713</v>
      </c>
      <c r="H1302" s="4" t="n">
        <v>821</v>
      </c>
      <c r="I1302" s="5" t="n">
        <v>239.3</v>
      </c>
      <c r="J1302" s="5" t="n">
        <v>71.5</v>
      </c>
      <c r="K1302" s="3" t="inlineStr">
        <is>
          <t>부강면 계획관리지역 목장용지, 토지 5,143.4제곱미터 매매</t>
        </is>
      </c>
      <c r="L1302" s="6">
        <f>HYPERLINK("https://fin.land.naver.com/articles/2654690988",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진행</t>
        </is>
      </c>
      <c r="P1302" s="4" t="n">
        <v>2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5143</v>
      </c>
      <c r="H1303" s="4" t="n">
        <v>1556</v>
      </c>
      <c r="I1303" s="5" t="n">
        <v>90</v>
      </c>
      <c r="J1303" s="5" t="n">
        <v>71.5</v>
      </c>
      <c r="K1303" s="3" t="inlineStr">
        <is>
          <t>e루다 공장하실분,저렴하게매수하세요,적극조율</t>
        </is>
      </c>
      <c r="L1303" s="6">
        <f>HYPERLINK("https://fin.land.naver.com/articles/2656662628",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이루다</t>
        </is>
      </c>
      <c r="P1303" s="4" t="n">
        <v>1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계획관리지역의 과수원으로 농촌 체류형 쉼터나 공방 및 전원주택지로 좋은</t>
        </is>
      </c>
      <c r="L1308" s="6">
        <f>HYPERLINK("https://fin.land.naver.com/articles/2656051456",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급매,도로접한 계획관리지역,다용도 사용목적 가능,투자용 추천</t>
        </is>
      </c>
      <c r="L1310" s="6">
        <f>HYPERLINK("https://fin.land.naver.com/articles/2654725590",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고운맘</t>
        </is>
      </c>
      <c r="P1310" s="4" t="n">
        <v>1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 계획관리지역의 과수원으로 전원주택이나 체류형쉼터 공방 등으로 이용</t>
        </is>
      </c>
      <c r="L1311" s="6">
        <f>HYPERLINK("https://fin.land.naver.com/articles/2656246657",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스마일세종</t>
        </is>
      </c>
      <c r="P1311" s="4" t="n">
        <v>4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141000</v>
      </c>
      <c r="G1315" s="4" t="n">
        <v>7790</v>
      </c>
      <c r="H1315" s="4" t="n">
        <v>2356</v>
      </c>
      <c r="I1315" s="5" t="n">
        <v>59.8</v>
      </c>
      <c r="J1315" s="5" t="n">
        <v>18.3</v>
      </c>
      <c r="K1315" s="3" t="inlineStr">
        <is>
          <t>2차선 도로 인접 토지 매매</t>
        </is>
      </c>
      <c r="L1315" s="6">
        <f>HYPERLINK("https://fin.land.naver.com/articles/2653135877",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주식회사넥서스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129600</v>
      </c>
      <c r="G1316" s="4" t="n">
        <v>7791</v>
      </c>
      <c r="H1316" s="4" t="n">
        <v>2357</v>
      </c>
      <c r="I1316" s="5" t="n">
        <v>55</v>
      </c>
      <c r="J1316" s="5" t="n">
        <v>18.3</v>
      </c>
      <c r="K1316" s="3" t="inlineStr">
        <is>
          <t>행산리 농림지역 대토 농지 논 답</t>
        </is>
      </c>
      <c r="L1316" s="6">
        <f>HYPERLINK("https://fin.land.naver.com/articles/2651396542",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로데오상가</t>
        </is>
      </c>
      <c r="P1316" s="4" t="n">
        <v>2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도로접 나대지 매매</t>
        </is>
      </c>
      <c r="L1343" s="6">
        <f>HYPERLINK("https://fin.land.naver.com/articles/2651993571",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재화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가격절충가능</t>
        </is>
      </c>
      <c r="L1344" s="6">
        <f>HYPERLINK("https://fin.land.naver.com/articles/2652933750",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88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소정면 대곡리 농림지역 토지매매</t>
        </is>
      </c>
      <c r="L1346" s="6">
        <f>HYPERLINK("https://fin.land.naver.com/articles/2656412794",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재화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농지 초급매  세종시 농지 매도합니다. 대토추천</t>
        </is>
      </c>
      <c r="L1347" s="6">
        <f>HYPERLINK("https://fin.land.naver.com/articles/2652142064",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637</v>
      </c>
      <c r="H1363" s="4" t="n">
        <v>193</v>
      </c>
      <c r="I1363" s="5" t="n">
        <v>118.7</v>
      </c>
      <c r="J1363" s="5" t="n">
        <v>60.2</v>
      </c>
      <c r="K1363" s="3" t="inlineStr">
        <is>
          <t>급매 세종소정리 계획관리 도로접 대지 전원주택 주말농장 농촌체류형쉼터</t>
        </is>
      </c>
      <c r="L1363" s="6">
        <f>HYPERLINK("https://fin.land.naver.com/articles/2652667055",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천안삼거리</t>
        </is>
      </c>
      <c r="P1363" s="4" t="n">
        <v>1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638</v>
      </c>
      <c r="H1364" s="4" t="n">
        <v>193</v>
      </c>
      <c r="I1364" s="5" t="n">
        <v>118.7</v>
      </c>
      <c r="J1364" s="5" t="n">
        <v>60.2</v>
      </c>
      <c r="K1364" s="3" t="inlineStr">
        <is>
          <t>모양좋은 저렴한 나대지 매매</t>
        </is>
      </c>
      <c r="L1364" s="6">
        <f>HYPERLINK("https://fin.land.naver.com/articles/2653195383",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THE행복</t>
        </is>
      </c>
      <c r="P1364" s="4" t="n">
        <v>2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총 100.5p, 위치좋은 아름동 단독주택지 토지</t>
        </is>
      </c>
      <c r="L1379" s="6">
        <f>HYPERLINK("https://fin.land.naver.com/articles/2654923828",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전용100.5p, 국제고인근, 아름동 단독주택지</t>
        </is>
      </c>
      <c r="L1380" s="6">
        <f>HYPERLINK("https://fin.land.naver.com/articles/2652837740",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97.6p, 충대병원 인근 토지 급매, 조율도가능</t>
        </is>
      </c>
      <c r="L1389" s="6">
        <f>HYPERLINK("https://fin.land.naver.com/articles/2653682221",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충대병원 인근 가격 좋은 토지, 조율도 가능</t>
        </is>
      </c>
      <c r="L1390" s="6">
        <f>HYPERLINK("https://fin.land.naver.com/articles/2656262432",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급매 추가조율가능 입지좋은 충대병원인근</t>
        </is>
      </c>
      <c r="L1391" s="6">
        <f>HYPERLINK("https://fin.land.naver.com/articles/2651133638",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세종스타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야산을 품은 아름동 단독주택지</t>
        </is>
      </c>
      <c r="L1394" s="6">
        <f>HYPERLINK("https://fin.land.naver.com/articles/2654124683",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킹세종</t>
        </is>
      </c>
      <c r="P1394" s="4" t="n">
        <v>2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공원인근, 조용한 단독주택 토지</t>
        </is>
      </c>
      <c r="L1395" s="6">
        <f>HYPERLINK("https://fin.land.naver.com/articles/2652115592",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 인접한 아름동 근생용지, 약국위치로 좋아요</t>
        </is>
      </c>
      <c r="L1396" s="6">
        <f>HYPERLINK("https://fin.land.naver.com/articles/2650939008",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OK세종 사무소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충대병원, 약국추천자리, 근생토지, 대로변 노출 좋은 자리</t>
        </is>
      </c>
      <c r="L1397" s="6">
        <f>HYPERLINK("https://fin.land.naver.com/articles/2651770352",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세종무지개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대로변 코너 노출 좋은 입지좋은 근생 토지 매매</t>
        </is>
      </c>
      <c r="L1398" s="6">
        <f>HYPERLINK("https://fin.land.naver.com/articles/2651943193",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145000</v>
      </c>
      <c r="G1401" s="4" t="n">
        <v>317</v>
      </c>
      <c r="H1401" s="4" t="n">
        <v>96</v>
      </c>
      <c r="I1401" s="5" t="n">
        <v>1510.4</v>
      </c>
      <c r="J1401" s="5" t="n">
        <v>724</v>
      </c>
      <c r="K1401" s="3" t="inlineStr">
        <is>
          <t>근린생활시설 용지로서 대단위 아파트 전면에 위치하여 최고의 상권</t>
        </is>
      </c>
      <c r="L1401" s="6">
        <f>HYPERLINK("https://fin.land.naver.com/articles/2651956271",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대우마을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아름동 대로변 근생용지, 96.1p</t>
        </is>
      </c>
      <c r="L1402" s="6">
        <f>HYPERLINK("https://fin.land.naver.com/articles/2652839304",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사거리 코너입지 최고, 조율도 가능</t>
        </is>
      </c>
      <c r="L1403" s="6">
        <f>HYPERLINK("https://fin.land.naver.com/articles/2654692792",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총 109.3p, 사거리코너자리, 충대병원 인접 토지</t>
        </is>
      </c>
      <c r="L1404" s="6">
        <f>HYPERLINK("https://fin.land.naver.com/articles/2654224772",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67100</v>
      </c>
      <c r="G1409" s="4" t="n">
        <v>364</v>
      </c>
      <c r="H1409" s="4" t="n">
        <v>110</v>
      </c>
      <c r="I1409" s="5" t="n">
        <v>610</v>
      </c>
      <c r="J1409" s="5" t="n">
        <v>349.4</v>
      </c>
      <c r="K1409" s="3" t="inlineStr">
        <is>
          <t>조망이 아주 뛰어납니다.확 트인 시야</t>
        </is>
      </c>
      <c r="L1409" s="6">
        <f>HYPERLINK("https://fin.land.naver.com/articles/2652406933",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68200</v>
      </c>
      <c r="G1410" s="4" t="n">
        <v>364</v>
      </c>
      <c r="H1410" s="4" t="n">
        <v>110</v>
      </c>
      <c r="I1410" s="5" t="n">
        <v>620</v>
      </c>
      <c r="J1410" s="5" t="n">
        <v>349.4</v>
      </c>
      <c r="K1410" s="3" t="inlineStr">
        <is>
          <t>뒤에는 산 앞에는 멋진 도시뷰,즉시 건축가능함</t>
        </is>
      </c>
      <c r="L1410" s="6">
        <f>HYPERLINK("https://fin.land.naver.com/articles/2653891417",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아름동 학교 가까운 주택지</t>
        </is>
      </c>
      <c r="L1412" s="6">
        <f>HYPERLINK("https://fin.land.naver.com/articles/2653003576",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OK세종 사무소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총 110.7p, 아파트 단지 옆, 아름초 인근, 위치좋고 가격좋은 토지</t>
        </is>
      </c>
      <c r="L1413" s="6">
        <f>HYPERLINK("https://fin.land.naver.com/articles/2652842649",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세종무지개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급매, 110.7p, 아름초인접, 범지기10단지인근</t>
        </is>
      </c>
      <c r="L1414" s="6">
        <f>HYPERLINK("https://fin.land.naver.com/articles/2654927262",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급매 아름동학원가, 상권이용편리로얄택지, 금액조율가능, 추천매매</t>
        </is>
      </c>
      <c r="L1415" s="6">
        <f>HYPERLINK("https://fin.land.naver.com/articles/2653093272",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한방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추가조율가능 귀한큰평형 아름초도보3분 학원가도보5분 충대병원10분</t>
        </is>
      </c>
      <c r="L1416" s="6">
        <f>HYPERLINK("https://fin.land.naver.com/articles/2655176796",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세종스타</t>
        </is>
      </c>
      <c r="P1416" s="4" t="n">
        <v>2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353</v>
      </c>
      <c r="H1417" s="4" t="n">
        <v>107</v>
      </c>
      <c r="I1417" s="5" t="n">
        <v>654.2</v>
      </c>
      <c r="J1417" s="5" t="n">
        <v>343.1</v>
      </c>
      <c r="K1417" s="3" t="inlineStr">
        <is>
          <t>초등학교인접, 대단지 맞은편 아름동 단독주택</t>
        </is>
      </c>
      <c r="L1417" s="6">
        <f>HYPERLINK("https://fin.land.naver.com/articles/2656267245",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354</v>
      </c>
      <c r="H1418" s="4" t="n">
        <v>107</v>
      </c>
      <c r="I1418" s="5" t="n">
        <v>654.2</v>
      </c>
      <c r="J1418" s="5" t="n">
        <v>343.1</v>
      </c>
      <c r="K1418" s="3" t="inlineStr">
        <is>
          <t>총 107.4p, 아름초인근, 위치좋은 단독주택지 추천</t>
        </is>
      </c>
      <c r="L1418" s="6">
        <f>HYPERLINK("https://fin.land.naver.com/articles/2651902228",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총 103.7p, 아름동 삼거리 코너, 아파트 단지 근처</t>
        </is>
      </c>
      <c r="L1419" s="6">
        <f>HYPERLINK("https://fin.land.naver.com/articles/2652842249",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nan</t>
        </is>
      </c>
      <c r="L1420" s="6">
        <f>HYPERLINK("https://fin.land.naver.com/articles/2656325636",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킹세종</t>
        </is>
      </c>
      <c r="P1420" s="4" t="n">
        <v>4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103.7p, 삼거리 코너자리, 왼쪽 토지 활용도 높은 좋은 위치</t>
        </is>
      </c>
      <c r="L1421" s="6">
        <f>HYPERLINK("https://fin.land.naver.com/articles/2654920262",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HYPERLINK("https://fin.land.naver.com/articles/2655487443",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365</v>
      </c>
      <c r="H1423" s="4" t="n">
        <v>110</v>
      </c>
      <c r="I1423" s="5" t="n">
        <v>545.5</v>
      </c>
      <c r="J1423" s="5" t="n">
        <v>338.2</v>
      </c>
      <c r="K1423" s="3" t="inlineStr">
        <is>
          <t>4단지 맞은편, 단독주택 토지 매매</t>
        </is>
      </c>
      <c r="L1423" s="6">
        <f>HYPERLINK("https://fin.land.naver.com/articles/2655854582",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예쁘게 단독주택을 지을수 있는 대지</t>
        </is>
      </c>
      <c r="L1424" s="6">
        <f>HYPERLINK("https://fin.land.naver.com/articles/2656447698",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대한</t>
        </is>
      </c>
      <c r="P1424" s="4" t="n">
        <v>13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급매, 총 91p, 삼거리코너, 아파트 단지 밑</t>
        </is>
      </c>
      <c r="L1425" s="6">
        <f>HYPERLINK("https://fin.land.naver.com/articles/2652838634",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 아름동학원가, 상권이용편리로얄택지, 금액조율가능, 추천매매</t>
        </is>
      </c>
      <c r="L1426" s="6">
        <f>HYPERLINK("https://fin.land.naver.com/articles/2656339055",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한방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D8중 최저가.네고 가능.초,중,고 가깝고,마트.교통까지 편리</t>
        </is>
      </c>
      <c r="L1428" s="6">
        <f>HYPERLINK("https://fin.land.naver.com/articles/2656130718",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수자인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급매, 학교, 편의시설, 정부청사 가까워 생활편리, 보행도로접 코너각지</t>
        </is>
      </c>
      <c r="L1429" s="6">
        <f>HYPERLINK("https://fin.land.naver.com/articles/2655652433",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온뜰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총 91p, 삼거리 코너, 단지 인접, 급매</t>
        </is>
      </c>
      <c r="L1430" s="6">
        <f>HYPERLINK("https://fin.land.naver.com/articles/2654223009",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아름동 주택지 저렴한 가격 급매, 코너각지, 위치좋음</t>
        </is>
      </c>
      <c r="L1431" s="6">
        <f>HYPERLINK("https://fin.land.naver.com/articles/2653003304",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OK세종 사무소</t>
        </is>
      </c>
      <c r="P1431" s="4" t="n">
        <v>2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코너각지 홈플러스인근 아름동학원가 인접 조율가능</t>
        </is>
      </c>
      <c r="L1435" s="6">
        <f>HYPERLINK("https://fin.land.naver.com/articles/2655177594",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92.1p, 초급매, 가격조율가능, 코너최고자리</t>
        </is>
      </c>
      <c r="L1436" s="6">
        <f>HYPERLINK("https://fin.land.naver.com/articles/2654924787",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접근성 좋은 아름동 택지</t>
        </is>
      </c>
      <c r="L1438" s="6">
        <f>HYPERLINK("https://fin.land.naver.com/articles/2652794578",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강아지풀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단독주택지.대지</t>
        </is>
      </c>
      <c r="L1439" s="6">
        <f>HYPERLINK("https://fin.land.naver.com/articles/2651582608",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세종몽땅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총 96.7p, 12단지 맞은편 위치좋은 단독주택지</t>
        </is>
      </c>
      <c r="L1440" s="6">
        <f>HYPERLINK("https://fin.land.naver.com/articles/2651908937",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96.7p, 단지 맞은편, 사거리 코너자리</t>
        </is>
      </c>
      <c r="L1441" s="6">
        <f>HYPERLINK("https://fin.land.naver.com/articles/2653565169",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조율가능 도심 데이터센터 사옥 방송국 통신사 데이터센터 출판사 프로그래밍</t>
        </is>
      </c>
      <c r="L1442" s="6">
        <f>HYPERLINK("https://fin.land.naver.com/articles/2655253827",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151.5p, 데이터센터, 방송관련 사옥 추천, 조율가능, 입지좋은 토지</t>
        </is>
      </c>
      <c r="L1443" s="6">
        <f>HYPERLINK("https://fin.land.naver.com/articles/2654888844",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명진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데이터센터, 방송국 사옥부지, 조율가능, 정보통신업 추천</t>
        </is>
      </c>
      <c r="L1444" s="6">
        <f>HYPERLINK("https://fin.land.naver.com/articles/2653569005",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세종무지개</t>
        </is>
      </c>
      <c r="P1444" s="4" t="n">
        <v>1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국제고 인근, 충대병원 가까운 아름동 단독주택 토지매매</t>
        </is>
      </c>
      <c r="L1445" s="6">
        <f>HYPERLINK("https://fin.land.naver.com/articles/2652839214",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아름동 국제고 인근, 입지좋은 단독주택 토지매매</t>
        </is>
      </c>
      <c r="L1446" s="6">
        <f>HYPERLINK("https://fin.land.naver.com/articles/2654227049",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조율가능 국제고인근 시유지접함 언덕택지</t>
        </is>
      </c>
      <c r="L1447" s="6">
        <f>HYPERLINK("https://fin.land.naver.com/articles/2655021697",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국제고인근 위치좋은 코너각지, 공원인접,보행로연결</t>
        </is>
      </c>
      <c r="L1454" s="6">
        <f>HYPERLINK("https://fin.land.naver.com/articles/2656328684",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똑똑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90.6p, 국제고 인근, 공원인접, 조율가능</t>
        </is>
      </c>
      <c r="L1456" s="6">
        <f>HYPERLINK("https://fin.land.naver.com/articles/2656265222",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총 90.6p, 국제고인근 단독주택 토지매매</t>
        </is>
      </c>
      <c r="L1458" s="6">
        <f>HYPERLINK("https://fin.land.naver.com/articles/2652842317",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90.6p, 국제고, 충남대병원 인근 아름동 단독주택지</t>
        </is>
      </c>
      <c r="L1459" s="6">
        <f>HYPERLINK("https://fin.land.naver.com/articles/2654893286",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총 90.6p, 조율가능, 아름동 단독주택지, 국제고 인근</t>
        </is>
      </c>
      <c r="L1466" s="6">
        <f>HYPERLINK("https://fin.land.naver.com/articles/2652837454",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사거리 코너 입지, 가격 최대 조율가능</t>
        </is>
      </c>
      <c r="L1467" s="6">
        <f>HYPERLINK("https://fin.land.naver.com/articles/2655278747",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명진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국제고인근.코너각지. 충대병원인접. 위치,교통 편리한 지역.조정가능</t>
        </is>
      </c>
      <c r="L1468" s="6">
        <f>HYPERLINK("https://fin.land.naver.com/articles/2651892393",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새롬삼둥이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총 107.2p, 국제고, 충남대병원인근</t>
        </is>
      </c>
      <c r="L1469" s="6">
        <f>HYPERLINK("https://fin.land.naver.com/articles/2654231996",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국제고, 영재고, 충대병원인근, IC인접 107.2p</t>
        </is>
      </c>
      <c r="L1470" s="6">
        <f>HYPERLINK("https://fin.land.naver.com/articles/2652841023",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급매 세종시 최고택지 더빌리지 조율가능</t>
        </is>
      </c>
      <c r="L1473" s="6">
        <f>HYPERLINK("https://fin.land.naver.com/articles/2652945092",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418</v>
      </c>
      <c r="H1474" s="4" t="n">
        <v>126</v>
      </c>
      <c r="I1474" s="5" t="n">
        <v>1015.9</v>
      </c>
      <c r="J1474" s="5" t="n">
        <v>358</v>
      </c>
      <c r="K1474" s="3" t="inlineStr">
        <is>
          <t>고급 타운하우스 전원주택지 매매, 가격 좋고 입지 좋은 곳</t>
        </is>
      </c>
      <c r="L1474" s="6">
        <f>HYPERLINK("https://fin.land.naver.com/articles/2651948190",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명진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420</v>
      </c>
      <c r="H1475" s="4" t="n">
        <v>127</v>
      </c>
      <c r="I1475" s="5" t="n">
        <v>1007.9</v>
      </c>
      <c r="J1475" s="5" t="n">
        <v>358</v>
      </c>
      <c r="K1475" s="3" t="inlineStr">
        <is>
          <t>더빌리지 급매, BRT, 학교인근, 블럭형 단독주택지</t>
        </is>
      </c>
      <c r="L1475" s="6">
        <f>HYPERLINK("https://fin.land.naver.com/articles/2651188818",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58000</v>
      </c>
      <c r="G1533" s="4" t="n">
        <v>767</v>
      </c>
      <c r="H1533" s="4" t="n">
        <v>232</v>
      </c>
      <c r="I1533" s="5" t="n">
        <v>250</v>
      </c>
      <c r="J1533" s="5" t="n">
        <v>52.2</v>
      </c>
      <c r="K1533" s="3" t="inlineStr">
        <is>
          <t>세종 해밀동과 5분거리, 계획관리지역, 서울세종 고속도로 최대수혜지</t>
        </is>
      </c>
      <c r="L1533" s="6">
        <f>HYPERLINK("https://fin.land.naver.com/articles/2652331275",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다정센텀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82000</v>
      </c>
      <c r="G1534" s="4" t="n">
        <v>767</v>
      </c>
      <c r="H1534" s="4" t="n">
        <v>232</v>
      </c>
      <c r="I1534" s="5" t="n">
        <v>353.4</v>
      </c>
      <c r="J1534" s="5" t="n">
        <v>52.2</v>
      </c>
      <c r="K1534" s="3" t="inlineStr">
        <is>
          <t>Click 수산교차로 인근 계획관리지역 Click</t>
        </is>
      </c>
      <c r="L1534" s="6">
        <f>HYPERLINK("https://fin.land.naver.com/articles/2651434324",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162000</v>
      </c>
      <c r="G1535" s="4" t="n">
        <v>1517</v>
      </c>
      <c r="H1535" s="4" t="n">
        <v>459</v>
      </c>
      <c r="I1535" s="5" t="n">
        <v>352.9</v>
      </c>
      <c r="J1535" s="5" t="n">
        <v>52.2</v>
      </c>
      <c r="K1535" s="3" t="inlineStr">
        <is>
          <t>Click 수산교차로 인근 계획관리지역 2필지 도로접 Click</t>
        </is>
      </c>
      <c r="L1535" s="6">
        <f>HYPERLINK("https://fin.land.naver.com/articles/2651434188",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서울세종간고속도로 진입램프와 가까운 수산리지역 토지</t>
        </is>
      </c>
      <c r="L1542" s="6">
        <f>HYPERLINK("https://fin.land.naver.com/articles/2652030443",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세종시 초인접 계획관리 답</t>
        </is>
      </c>
      <c r="L1543" s="6">
        <f>HYPERLINK("https://fin.land.naver.com/articles/2652621671",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강나루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135000</v>
      </c>
      <c r="G1550" s="4" t="n">
        <v>9917</v>
      </c>
      <c r="H1550" s="4" t="n">
        <v>3000</v>
      </c>
      <c r="I1550" s="5" t="n">
        <v>45</v>
      </c>
      <c r="J1550" s="5" t="n">
        <v>5.1</v>
      </c>
      <c r="K1550" s="3" t="inlineStr">
        <is>
          <t>nan</t>
        </is>
      </c>
      <c r="L1550" s="6">
        <f>HYPERLINK("https://fin.land.naver.com/articles/2653146264",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공단119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40000</v>
      </c>
      <c r="G1564" s="4" t="n">
        <v>568</v>
      </c>
      <c r="H1564" s="4" t="n">
        <v>172</v>
      </c>
      <c r="I1564" s="5" t="n">
        <v>232.6</v>
      </c>
      <c r="J1564" s="5" t="n">
        <v>175.7</v>
      </c>
      <c r="K1564" s="3" t="inlineStr">
        <is>
          <t>계획관리 토지매매시세대비 저렴하게 나온 매물</t>
        </is>
      </c>
      <c r="L1564" s="6">
        <f>HYPERLINK("https://fin.land.naver.com/articles/2655258992",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45000</v>
      </c>
      <c r="G1565" s="4" t="n">
        <v>568</v>
      </c>
      <c r="H1565" s="4" t="n">
        <v>172</v>
      </c>
      <c r="I1565" s="5" t="n">
        <v>261.6</v>
      </c>
      <c r="J1565" s="5" t="n">
        <v>175.7</v>
      </c>
      <c r="K1565" s="3" t="inlineStr">
        <is>
          <t>급매 시세대비 저렴한 토지 계획관리.주거개발진흥지구.지구단위계획구역</t>
        </is>
      </c>
      <c r="L1565" s="6">
        <f>HYPERLINK("https://fin.land.naver.com/articles/2656145022",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은주</t>
        </is>
      </c>
      <c r="P1565" s="4" t="n">
        <v>2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20000</v>
      </c>
      <c r="G1566" s="4" t="n">
        <v>202</v>
      </c>
      <c r="H1566" s="4" t="n">
        <v>61</v>
      </c>
      <c r="I1566" s="5" t="n">
        <v>327.9</v>
      </c>
      <c r="J1566" s="5" t="n">
        <v>175.7</v>
      </c>
      <c r="K1566" s="3" t="inlineStr">
        <is>
          <t>계획관리지역 내 네모반듯한 토지</t>
        </is>
      </c>
      <c r="L1566" s="6">
        <f>HYPERLINK("https://fin.land.naver.com/articles/2653884325",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KS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19000</v>
      </c>
      <c r="G1567" s="4" t="n">
        <v>202</v>
      </c>
      <c r="H1567" s="4" t="n">
        <v>61</v>
      </c>
      <c r="I1567" s="5" t="n">
        <v>311.5</v>
      </c>
      <c r="J1567" s="5" t="n">
        <v>175.7</v>
      </c>
      <c r="K1567" s="3" t="inlineStr">
        <is>
          <t>계획관리 토지건축,투자</t>
        </is>
      </c>
      <c r="L1567" s="6">
        <f>HYPERLINK("https://fin.land.naver.com/articles/2650858549",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세종대박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205000</v>
      </c>
      <c r="G1612" s="4" t="n">
        <v>5683</v>
      </c>
      <c r="H1612" s="4" t="n">
        <v>1719</v>
      </c>
      <c r="I1612" s="5" t="n">
        <v>119.3</v>
      </c>
      <c r="J1612" s="5" t="n">
        <v>41.8</v>
      </c>
      <c r="K1612" s="3" t="inlineStr">
        <is>
          <t>급매  저렴한 매물    추천매물</t>
        </is>
      </c>
      <c r="L1612" s="6">
        <f>HYPERLINK("https://fin.land.naver.com/articles/2653315073",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세종푸르지오</t>
        </is>
      </c>
      <c r="P1612" s="4" t="n">
        <v>2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210000</v>
      </c>
      <c r="G1613" s="4" t="n">
        <v>5683</v>
      </c>
      <c r="H1613" s="4" t="n">
        <v>1719</v>
      </c>
      <c r="I1613" s="5" t="n">
        <v>122.2</v>
      </c>
      <c r="J1613" s="5" t="n">
        <v>41.8</v>
      </c>
      <c r="K1613" s="3" t="inlineStr">
        <is>
          <t>시세보다 저렴한  최상의 위치로  계획관리 토지로 용도다양</t>
        </is>
      </c>
      <c r="L1613" s="6">
        <f>HYPERLINK("https://fin.land.naver.com/articles/2651026655",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연동스카이</t>
        </is>
      </c>
      <c r="P1613" s="4" t="n">
        <v>1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지목 대 계획관리 자연취락지구 진입도로있음</t>
        </is>
      </c>
      <c r="L1634" s="6">
        <f>HYPERLINK("https://fin.land.naver.com/articles/2651719061",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레몬</t>
        </is>
      </c>
      <c r="P1634" s="4" t="n">
        <v>1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155000</v>
      </c>
      <c r="G1640" s="4" t="n">
        <v>1982</v>
      </c>
      <c r="H1640" s="4" t="n">
        <v>600</v>
      </c>
      <c r="I1640" s="5" t="n">
        <v>258.3</v>
      </c>
      <c r="J1640" s="5" t="n">
        <v>53.2</v>
      </c>
      <c r="K1640" s="3" t="inlineStr">
        <is>
          <t>nan</t>
        </is>
      </c>
      <c r="L1640" s="6">
        <f>HYPERLINK("https://fin.land.naver.com/articles/2653971157",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노은역</t>
        </is>
      </c>
      <c r="P1640" s="4" t="n">
        <v>2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150000</v>
      </c>
      <c r="G1641" s="4" t="n">
        <v>1982</v>
      </c>
      <c r="H1641" s="4" t="n">
        <v>600</v>
      </c>
      <c r="I1641" s="5" t="n">
        <v>250</v>
      </c>
      <c r="J1641" s="5" t="n">
        <v>53.2</v>
      </c>
      <c r="K1641" s="3" t="inlineStr">
        <is>
          <t>2차선도로접, 계획관리, 4거리변위치, 산단인근 매매가조절가능</t>
        </is>
      </c>
      <c r="L1641" s="6">
        <f>HYPERLINK("https://fin.land.naver.com/articles/2650857996",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힐스테이트정문</t>
        </is>
      </c>
      <c r="P1641" s="4" t="n">
        <v>1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3699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HYPERLINK("https://fin.land.naver.com/articles/2654934531",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세종신한</t>
        </is>
      </c>
      <c r="P1642" s="4" t="n">
        <v>7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nan</t>
        </is>
      </c>
      <c r="L1643" s="6">
        <f>HYPERLINK("https://fin.land.naver.com/articles/2652334541",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세종몽땅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3700</v>
      </c>
      <c r="H1644" s="4" t="n">
        <v>1119</v>
      </c>
      <c r="I1644" s="5" t="n">
        <v>446.8</v>
      </c>
      <c r="J1644" s="5" t="n">
        <v>25.1</v>
      </c>
      <c r="K1644" s="3" t="inlineStr">
        <is>
          <t>분할매매가능 평지작업해줌 전원주택 카페최적</t>
        </is>
      </c>
      <c r="L1644" s="6">
        <f>HYPERLINK("https://fin.land.naver.com/articles/2653933714",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신두정리치</t>
        </is>
      </c>
      <c r="P1644" s="4" t="n">
        <v>1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세종 연동면 명학리 보전관리지역 토지 매매</t>
        </is>
      </c>
      <c r="L1648" s="6">
        <f>HYPERLINK("https://fin.land.naver.com/articles/2655671814",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29700</v>
      </c>
      <c r="G1649" s="4" t="n">
        <v>1121</v>
      </c>
      <c r="H1649" s="4" t="n">
        <v>339</v>
      </c>
      <c r="I1649" s="5" t="n">
        <v>87.59999999999999</v>
      </c>
      <c r="J1649" s="5" t="n">
        <v>35.5</v>
      </c>
      <c r="K1649" s="3" t="inlineStr">
        <is>
          <t>세종시 연동면 명학리 소형 토지 매매</t>
        </is>
      </c>
      <c r="L1649" s="6">
        <f>HYPERLINK("https://fin.land.naver.com/articles/2655172489",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하이엔드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</v>
      </c>
      <c r="G1663" s="4" t="n">
        <v>1319</v>
      </c>
      <c r="H1663" s="4" t="n">
        <v>399</v>
      </c>
      <c r="I1663" s="5" t="n">
        <v>41.4</v>
      </c>
      <c r="J1663" s="5" t="n">
        <v>28.5</v>
      </c>
      <c r="K1663" s="3" t="inlineStr">
        <is>
          <t>nan</t>
        </is>
      </c>
      <c r="L1663" s="6">
        <f>HYPERLINK("https://fin.land.naver.com/articles/2656464511",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연동스카이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50000</v>
      </c>
      <c r="G1687" s="4" t="n">
        <v>1914</v>
      </c>
      <c r="H1687" s="4" t="n">
        <v>579</v>
      </c>
      <c r="I1687" s="5" t="n">
        <v>86.40000000000001</v>
      </c>
      <c r="J1687" s="5" t="n">
        <v>35.1</v>
      </c>
      <c r="K1687" s="3" t="inlineStr">
        <is>
          <t>급매, 협의절충, 생산관리, 과수원, 입지, 주위 인프라 굿</t>
        </is>
      </c>
      <c r="L1687" s="6">
        <f>HYPERLINK("https://fin.land.naver.com/articles/2653154744",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세종한울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52000</v>
      </c>
      <c r="G1688" s="4" t="n">
        <v>1914</v>
      </c>
      <c r="H1688" s="4" t="n">
        <v>579</v>
      </c>
      <c r="I1688" s="5" t="n">
        <v>89.8</v>
      </c>
      <c r="J1688" s="5" t="n">
        <v>35.1</v>
      </c>
      <c r="K1688" s="3" t="inlineStr">
        <is>
          <t>nan</t>
        </is>
      </c>
      <c r="L1688" s="6">
        <f>HYPERLINK("https://fin.land.naver.com/articles/2652244554",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세종소담황금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행정중심복합도시 동측에 위치한 농지</t>
        </is>
      </c>
      <c r="L1696" s="6">
        <f>HYPERLINK("https://fin.land.naver.com/articles/2651237783",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세종토박이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3m 도로접한 계획관리</t>
        </is>
      </c>
      <c r="L1697" s="6">
        <f>HYPERLINK("https://fin.land.naver.com/articles/2656553775",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105000</v>
      </c>
      <c r="G1710" s="4" t="n">
        <v>1429</v>
      </c>
      <c r="H1710" s="4" t="n">
        <v>432</v>
      </c>
      <c r="I1710" s="5" t="n">
        <v>243.1</v>
      </c>
      <c r="J1710" s="5" t="n">
        <v>103.4</v>
      </c>
      <c r="K1710" s="3" t="inlineStr">
        <is>
          <t>2차선 도로접한,대,평지로 땅모양 좋아요,5생활권 및 명학 산업단지 근접</t>
        </is>
      </c>
      <c r="L1710" s="6">
        <f>HYPERLINK("https://fin.land.naver.com/articles/2652213741",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해밀탑</t>
        </is>
      </c>
      <c r="P1710" s="4" t="n">
        <v>2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100000</v>
      </c>
      <c r="G1711" s="4" t="n">
        <v>1429</v>
      </c>
      <c r="H1711" s="4" t="n">
        <v>432</v>
      </c>
      <c r="I1711" s="5" t="n">
        <v>231.5</v>
      </c>
      <c r="J1711" s="5" t="n">
        <v>103.4</v>
      </c>
      <c r="K1711" s="3" t="inlineStr">
        <is>
          <t>2차선도로접  명학산업단지 5생활권 남청주ic 인근</t>
        </is>
      </c>
      <c r="L1711" s="6">
        <f>HYPERLINK("https://fin.land.naver.com/articles/2656638830",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세종로또</t>
        </is>
      </c>
      <c r="P1711" s="4" t="n">
        <v>1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강이 보이는 남향의 최고의 전원주택 부지 급 매매</t>
        </is>
      </c>
      <c r="L1718" s="6">
        <f>HYPERLINK("https://fin.land.naver.com/articles/2656180037",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대전토지로무소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조율가능 남향 금강조망 전원주택지 급매</t>
        </is>
      </c>
      <c r="L1719" s="6">
        <f>HYPERLINK("https://fin.land.naver.com/articles/2654330711",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세종스타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110000</v>
      </c>
      <c r="G1720" s="4" t="n">
        <v>12036</v>
      </c>
      <c r="H1720" s="4" t="n">
        <v>3641</v>
      </c>
      <c r="I1720" s="5" t="n">
        <v>30.2</v>
      </c>
      <c r="J1720" s="5" t="n">
        <v>6</v>
      </c>
      <c r="K1720" s="3" t="inlineStr">
        <is>
          <t>세종시 연동면 합강리 금강 인근 임야 매매</t>
        </is>
      </c>
      <c r="L1720" s="6">
        <f>HYPERLINK("https://fin.land.naver.com/articles/2653813136",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뉴스카이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73000</v>
      </c>
      <c r="G1721" s="4" t="n">
        <v>12036</v>
      </c>
      <c r="H1721" s="4" t="n">
        <v>3641</v>
      </c>
      <c r="I1721" s="5" t="n">
        <v>20</v>
      </c>
      <c r="J1721" s="5" t="n">
        <v>6</v>
      </c>
      <c r="K1721" s="3" t="inlineStr">
        <is>
          <t>조망이 좋고 투자가치가 높음, 인근에 비해 가격이 좋음</t>
        </is>
      </c>
      <c r="L1721" s="6">
        <f>HYPERLINK("https://fin.land.naver.com/articles/2654281254",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새날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21000</v>
      </c>
      <c r="G1746" s="4" t="n">
        <v>2010</v>
      </c>
      <c r="H1746" s="4" t="n">
        <v>608</v>
      </c>
      <c r="I1746" s="5" t="n">
        <v>34.5</v>
      </c>
      <c r="J1746" s="5" t="n">
        <v>22</v>
      </c>
      <c r="K1746" s="3" t="inlineStr">
        <is>
          <t>투자용, 주말 농장용으로 추천 합니다</t>
        </is>
      </c>
      <c r="L1746" s="6">
        <f>HYPERLINK("https://fin.land.naver.com/articles/2650856617",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세종대박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24000</v>
      </c>
      <c r="G1747" s="4" t="n">
        <v>2010</v>
      </c>
      <c r="H1747" s="4" t="n">
        <v>608</v>
      </c>
      <c r="I1747" s="5" t="n">
        <v>39.5</v>
      </c>
      <c r="J1747" s="5" t="n">
        <v>22</v>
      </c>
      <c r="K1747" s="3" t="inlineStr">
        <is>
          <t>대토용 및 주말농장</t>
        </is>
      </c>
      <c r="L1747" s="6">
        <f>HYPERLINK("https://fin.land.naver.com/articles/2652095031",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지호주식회사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스마트국가산업단지와 북세종IC 인근 계획관리지역 토지로 지가상승 예상.</t>
        </is>
      </c>
      <c r="L1756" s="6">
        <f>HYPERLINK("https://fin.land.naver.com/articles/2650938722",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세종대장</t>
        </is>
      </c>
      <c r="P1756" s="4" t="n">
        <v>2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급매,도로접한 계획관리지역,알토란 토지,가격조정가능</t>
        </is>
      </c>
      <c r="L1757" s="6">
        <f>HYPERLINK("https://fin.land.naver.com/articles/2651676153",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고운맘</t>
        </is>
      </c>
      <c r="P1757" s="4" t="n">
        <v>1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급매매 계획관리 도로접 건축가능 세종 연서 기룡리</t>
        </is>
      </c>
      <c r="L1782" s="6">
        <f>HYPERLINK("https://fin.land.naver.com/articles/2655741817",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명장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도로 접한 토지 급매 l  전원주택, 캠핑카등 활용도 높은 토지</t>
        </is>
      </c>
      <c r="L1783" s="6">
        <f>HYPERLINK("https://fin.land.naver.com/articles/2655221143",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문은진</t>
        </is>
      </c>
      <c r="P1783" s="4" t="n">
        <v>1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접근성좋아요,국유지구거및도로접</t>
        </is>
      </c>
      <c r="L1784" s="6">
        <f>HYPERLINK("https://fin.land.naver.com/articles/2654252150",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싱글벙글</t>
        </is>
      </c>
      <c r="P1784" s="4" t="n">
        <v>2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급매 세종 산업단지 5분거리, 포장도로 접해 있는 나대지</t>
        </is>
      </c>
      <c r="L1785" s="6">
        <f>HYPERLINK("https://fin.land.naver.com/articles/2656411812",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힐스테이트가장조은</t>
        </is>
      </c>
      <c r="P1785" s="4" t="n">
        <v>4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483</v>
      </c>
      <c r="H1786" s="4" t="n">
        <v>146</v>
      </c>
      <c r="I1786" s="5" t="n">
        <v>133.6</v>
      </c>
      <c r="J1786" s="5" t="n">
        <v>66.7</v>
      </c>
      <c r="K1786" s="3" t="inlineStr">
        <is>
          <t>전망좋은 전원택지및 다용도,투자적지</t>
        </is>
      </c>
      <c r="L1786" s="6">
        <f>HYPERLINK("https://fin.land.naver.com/articles/2655773496",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행복가득한</t>
        </is>
      </c>
      <c r="P1786" s="4" t="n">
        <v>1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nan</t>
        </is>
      </c>
      <c r="L1787" s="6">
        <f>HYPERLINK("https://fin.land.naver.com/articles/2655596322",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조아</t>
        </is>
      </c>
      <c r="P1787" s="4" t="n">
        <v>4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482</v>
      </c>
      <c r="H1788" s="4" t="n">
        <v>146</v>
      </c>
      <c r="I1788" s="5" t="n">
        <v>133.6</v>
      </c>
      <c r="J1788" s="5" t="n">
        <v>66.7</v>
      </c>
      <c r="K1788" s="3" t="inlineStr">
        <is>
          <t>연서면 기룡리 토지 계획관리지역 전원주택등</t>
        </is>
      </c>
      <c r="L1788" s="6">
        <f>HYPERLINK("https://fin.land.naver.com/articles/2652196219",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반석원무소</t>
        </is>
      </c>
      <c r="P1788" s="4" t="n">
        <v>1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364</v>
      </c>
      <c r="H1789" s="4" t="n">
        <v>110</v>
      </c>
      <c r="I1789" s="5" t="n">
        <v>177.3</v>
      </c>
      <c r="J1789" s="5" t="n">
        <v>66.7</v>
      </c>
      <c r="K1789" s="3" t="inlineStr">
        <is>
          <t>nan</t>
        </is>
      </c>
      <c r="L1789" s="6">
        <f>HYPERLINK("https://fin.land.naver.com/articles/2656183641",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돈방석</t>
        </is>
      </c>
      <c r="P1789" s="4" t="n">
        <v>8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급매,투자추천,나대지</t>
        </is>
      </c>
      <c r="L1790" s="6">
        <f>HYPERLINK("https://fin.land.naver.com/articles/2654898460",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다산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작은 텃밭 건축가능한 대지</t>
        </is>
      </c>
      <c r="L1791" s="6">
        <f>HYPERLINK("https://fin.land.naver.com/articles/2651272476",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지성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80500</v>
      </c>
      <c r="G1833" s="4" t="n">
        <v>2045</v>
      </c>
      <c r="H1833" s="4" t="n">
        <v>619</v>
      </c>
      <c r="I1833" s="5" t="n">
        <v>130</v>
      </c>
      <c r="J1833" s="5" t="n">
        <v>27.3</v>
      </c>
      <c r="K1833" s="3" t="inlineStr">
        <is>
          <t>세종시근접 2차선도로접 토지,향후 개발가능성높은 토지입니다.</t>
        </is>
      </c>
      <c r="L1833" s="6">
        <f>HYPERLINK("https://fin.land.naver.com/articles/2653892163",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담뜰</t>
        </is>
      </c>
      <c r="P1833" s="4" t="n">
        <v>3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200000</v>
      </c>
      <c r="G1834" s="4" t="n">
        <v>5090</v>
      </c>
      <c r="H1834" s="4" t="n">
        <v>1540</v>
      </c>
      <c r="I1834" s="5" t="n">
        <v>129.9</v>
      </c>
      <c r="J1834" s="5" t="n">
        <v>27.3</v>
      </c>
      <c r="K1834" s="3" t="inlineStr">
        <is>
          <t>2차선도로접, 개발호재가 강한지역 투자가치최고</t>
        </is>
      </c>
      <c r="L1834" s="6">
        <f>HYPERLINK("https://fin.land.naver.com/articles/2651043984",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원내</t>
        </is>
      </c>
      <c r="P1834" s="4" t="n">
        <v>2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82250</v>
      </c>
      <c r="G1849" s="4" t="n">
        <v>1087</v>
      </c>
      <c r="H1849" s="4" t="n">
        <v>329</v>
      </c>
      <c r="I1849" s="5" t="n">
        <v>250</v>
      </c>
      <c r="J1849" s="5" t="n">
        <v>65.90000000000001</v>
      </c>
      <c r="K1849" s="3" t="inlineStr">
        <is>
          <t>집짓기 좋은 정방형 토지 매매</t>
        </is>
      </c>
      <c r="L1849" s="6">
        <f>HYPERLINK("https://fin.land.naver.com/articles/2653195395",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80000</v>
      </c>
      <c r="G1850" s="4" t="n">
        <v>1087</v>
      </c>
      <c r="H1850" s="4" t="n">
        <v>329</v>
      </c>
      <c r="I1850" s="5" t="n">
        <v>243.2</v>
      </c>
      <c r="J1850" s="5" t="n">
        <v>65.90000000000001</v>
      </c>
      <c r="K1850" s="3" t="inlineStr">
        <is>
          <t>국가산단인근  성장관리계획구역</t>
        </is>
      </c>
      <c r="L1850" s="6">
        <f>HYPERLINK("https://fin.land.naver.com/articles/2654518353",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전원주택단지내 전원주택부지</t>
        </is>
      </c>
      <c r="L1868" s="6">
        <f>HYPERLINK("https://fin.land.naver.com/articles/2654424413",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nan</t>
        </is>
      </c>
      <c r="L1869" s="6">
        <f>HYPERLINK("https://fin.land.naver.com/articles/2655626687",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39800</v>
      </c>
      <c r="G1877" s="4" t="n">
        <v>2632</v>
      </c>
      <c r="H1877" s="4" t="n">
        <v>796</v>
      </c>
      <c r="I1877" s="5" t="n">
        <v>50</v>
      </c>
      <c r="J1877" s="5" t="n">
        <v>22.9</v>
      </c>
      <c r="K1877" s="3" t="inlineStr">
        <is>
          <t>nan</t>
        </is>
      </c>
      <c r="L1877" s="6">
        <f>HYPERLINK("https://fin.land.naver.com/articles/2654271164",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효성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72000</v>
      </c>
      <c r="G1878" s="4" t="n">
        <v>2632</v>
      </c>
      <c r="H1878" s="4" t="n">
        <v>796</v>
      </c>
      <c r="I1878" s="5" t="n">
        <v>90.5</v>
      </c>
      <c r="J1878" s="5" t="n">
        <v>22.9</v>
      </c>
      <c r="K1878" s="3" t="inlineStr">
        <is>
          <t>대토용,투자용 적합</t>
        </is>
      </c>
      <c r="L1878" s="6">
        <f>HYPERLINK("https://fin.land.naver.com/articles/2653703409",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지원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대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농지 매물 연서면 신대리 2,512㎡ 답 매매</t>
        </is>
      </c>
      <c r="L1881" s="6">
        <f>HYPERLINK("https://fin.land.naver.com/articles/2651605840",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nan</t>
        </is>
      </c>
      <c r="L1882" s="6">
        <f>HYPERLINK("https://fin.land.naver.com/articles/2656635377",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HYPERLINK("https://fin.land.naver.com/articles/2653301226",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HYPERLINK("https://fin.land.naver.com/articles/2653008123",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과수원 매매｜생산관리지역성장관리계획구역</t>
        </is>
      </c>
      <c r="L1898" s="6">
        <f>HYPERLINK("https://fin.land.naver.com/articles/2655619070",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세종 연서면 과수원 매매 생산관리지역성장관리계획구역</t>
        </is>
      </c>
      <c r="L1899" s="6">
        <f>HYPERLINK("https://fin.land.naver.com/articles/2651520255",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96300</v>
      </c>
      <c r="G1901" s="4" t="n">
        <v>3183</v>
      </c>
      <c r="H1901" s="4" t="n">
        <v>963</v>
      </c>
      <c r="I1901" s="5" t="n">
        <v>100</v>
      </c>
      <c r="J1901" s="5" t="n">
        <v>35.8</v>
      </c>
      <c r="K1901" s="3" t="inlineStr">
        <is>
          <t>고복저수지, 연기휴게소예정지 인근 생산관리토지</t>
        </is>
      </c>
      <c r="L1901" s="6">
        <f>HYPERLINK("https://fin.land.naver.com/articles/2652041512",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110000</v>
      </c>
      <c r="G1902" s="4" t="n">
        <v>3183</v>
      </c>
      <c r="H1902" s="4" t="n">
        <v>963</v>
      </c>
      <c r="I1902" s="5" t="n">
        <v>114.2</v>
      </c>
      <c r="J1902" s="5" t="n">
        <v>35.8</v>
      </c>
      <c r="K1902" s="3" t="inlineStr">
        <is>
          <t>도로접,땅모양좋습니다,성장관리계획구역,조정가</t>
        </is>
      </c>
      <c r="L1902" s="6">
        <f>HYPERLINK("https://fin.land.naver.com/articles/2656224781",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160000</v>
      </c>
      <c r="G1903" s="4" t="n">
        <v>3530</v>
      </c>
      <c r="H1903" s="4" t="n">
        <v>1068</v>
      </c>
      <c r="I1903" s="5" t="n">
        <v>149.8</v>
      </c>
      <c r="J1903" s="5" t="n">
        <v>37.7</v>
      </c>
      <c r="K1903" s="3" t="inlineStr">
        <is>
          <t>고복저수지인근,2차선접,투자가치좋아요</t>
        </is>
      </c>
      <c r="L1903" s="6">
        <f>HYPERLINK("https://fin.land.naver.com/articles/2656225837",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힐스테이트행복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39600</v>
      </c>
      <c r="G1904" s="4" t="n">
        <v>1092</v>
      </c>
      <c r="H1904" s="4" t="n">
        <v>330</v>
      </c>
      <c r="I1904" s="5" t="n">
        <v>120</v>
      </c>
      <c r="J1904" s="5" t="n">
        <v>37.7</v>
      </c>
      <c r="K1904" s="3" t="inlineStr">
        <is>
          <t>도로접함 2필지 일괄매매 현재 과수원 미래가치ok</t>
        </is>
      </c>
      <c r="L1904" s="6">
        <f>HYPERLINK("https://fin.land.naver.com/articles/2656371186",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신불당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연서면 쌍류리 2차선변 토지 매매</t>
        </is>
      </c>
      <c r="L1908" s="6">
        <f>HYPERLINK("https://fin.land.naver.com/articles/2656233638",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길운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70200</v>
      </c>
      <c r="G1909" s="4" t="n">
        <v>2340</v>
      </c>
      <c r="H1909" s="4" t="n">
        <v>708</v>
      </c>
      <c r="I1909" s="5" t="n">
        <v>99.2</v>
      </c>
      <c r="J1909" s="5" t="n">
        <v>29.4</v>
      </c>
      <c r="K1909" s="3" t="inlineStr">
        <is>
          <t>연서면 쌍류리 2차선변 과수원 매매</t>
        </is>
      </c>
      <c r="L1909" s="6">
        <f>HYPERLINK("https://fin.land.naver.com/articles/2650946339",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36500</v>
      </c>
      <c r="G1910" s="4" t="n">
        <v>1334</v>
      </c>
      <c r="H1910" s="4" t="n">
        <v>404</v>
      </c>
      <c r="I1910" s="5" t="n">
        <v>90.3</v>
      </c>
      <c r="J1910" s="5" t="n">
        <v>29.4</v>
      </c>
      <c r="K1910" s="3" t="inlineStr">
        <is>
          <t>하천, 도로접, 포도농원</t>
        </is>
      </c>
      <c r="L1910" s="6">
        <f>HYPERLINK("https://fin.land.naver.com/articles/2656452862",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삼보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45000</v>
      </c>
      <c r="G1923" s="4" t="n">
        <v>2463</v>
      </c>
      <c r="H1923" s="4" t="n">
        <v>745</v>
      </c>
      <c r="I1923" s="5" t="n">
        <v>60.4</v>
      </c>
      <c r="J1923" s="5" t="n">
        <v>28.9</v>
      </c>
      <c r="K1923" s="3" t="inlineStr">
        <is>
          <t>쌍류리 저렴한 토지매매</t>
        </is>
      </c>
      <c r="L1923" s="6">
        <f>HYPERLINK("https://fin.land.naver.com/articles/2653075157",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세종땅사랑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49500</v>
      </c>
      <c r="G1924" s="4" t="n">
        <v>2463</v>
      </c>
      <c r="H1924" s="4" t="n">
        <v>745</v>
      </c>
      <c r="I1924" s="5" t="n">
        <v>66.40000000000001</v>
      </c>
      <c r="J1924" s="5" t="n">
        <v>28.9</v>
      </c>
      <c r="K1924" s="3" t="inlineStr">
        <is>
          <t>도로접한 저렴한 토지매매</t>
        </is>
      </c>
      <c r="L1924" s="6">
        <f>HYPERLINK("https://fin.land.naver.com/articles/2651247524",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세종토박이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17000</v>
      </c>
      <c r="G1927" s="4" t="n">
        <v>522</v>
      </c>
      <c r="H1927" s="4" t="n">
        <v>158</v>
      </c>
      <c r="I1927" s="5" t="n">
        <v>107.6</v>
      </c>
      <c r="J1927" s="5" t="n">
        <v>32.8</v>
      </c>
      <c r="K1927" s="3" t="inlineStr">
        <is>
          <t>쌍류리 2차선길게 접한 코너각지 위치좋고 저렴한 토지</t>
        </is>
      </c>
      <c r="L1927" s="6">
        <f>HYPERLINK("https://fin.land.naver.com/articles/2656551332",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세종땅사랑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16300</v>
      </c>
      <c r="G1928" s="4" t="n">
        <v>522</v>
      </c>
      <c r="H1928" s="4" t="n">
        <v>158</v>
      </c>
      <c r="I1928" s="5" t="n">
        <v>103.2</v>
      </c>
      <c r="J1928" s="5" t="n">
        <v>32.8</v>
      </c>
      <c r="K1928" s="3" t="inlineStr">
        <is>
          <t>2차선 도로변의 접근성 좋은 급매 토지</t>
        </is>
      </c>
      <c r="L1928" s="6">
        <f>HYPERLINK("https://fin.land.naver.com/articles/2654839909",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1015</v>
      </c>
      <c r="H1946" s="4" t="n">
        <v>307</v>
      </c>
      <c r="I1946" s="5" t="n">
        <v>228</v>
      </c>
      <c r="J1946" s="5" t="n">
        <v>30.3</v>
      </c>
      <c r="K1946" s="3" t="inlineStr">
        <is>
          <t>성토완료된 4차선계획도 접한 토지</t>
        </is>
      </c>
      <c r="L1946" s="6">
        <f>HYPERLINK("https://fin.land.naver.com/articles/2656300445",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가치잇는</t>
        </is>
      </c>
      <c r="P1946" s="4" t="n">
        <v>8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1016</v>
      </c>
      <c r="H1947" s="4" t="n">
        <v>307</v>
      </c>
      <c r="I1947" s="5" t="n">
        <v>228</v>
      </c>
      <c r="J1947" s="5" t="n">
        <v>30.3</v>
      </c>
      <c r="K1947" s="3" t="inlineStr">
        <is>
          <t>nan</t>
        </is>
      </c>
      <c r="L1947" s="6">
        <f>HYPERLINK("https://fin.land.naver.com/articles/2651396918",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로데오상가</t>
        </is>
      </c>
      <c r="P1947" s="4" t="n">
        <v>2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200000</v>
      </c>
      <c r="G1990" s="4" t="n">
        <v>1653</v>
      </c>
      <c r="H1990" s="4" t="n">
        <v>500</v>
      </c>
      <c r="I1990" s="5" t="n">
        <v>400</v>
      </c>
      <c r="J1990" s="5" t="n">
        <v>96.59999999999999</v>
      </c>
      <c r="K1990" s="3" t="inlineStr">
        <is>
          <t>nan</t>
        </is>
      </c>
      <c r="L1990" s="6">
        <f>HYPERLINK("https://fin.land.naver.com/articles/2655658047",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온뜰</t>
        </is>
      </c>
      <c r="P1990" s="4" t="n">
        <v>1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330000</v>
      </c>
      <c r="G1991" s="4" t="n">
        <v>3712</v>
      </c>
      <c r="H1991" s="4" t="n">
        <v>1123</v>
      </c>
      <c r="I1991" s="5" t="n">
        <v>293.9</v>
      </c>
      <c r="J1991" s="5" t="n">
        <v>96.59999999999999</v>
      </c>
      <c r="K1991" s="3" t="inlineStr">
        <is>
          <t>자연녹지토지 분할매매가능</t>
        </is>
      </c>
      <c r="L1991" s="6">
        <f>HYPERLINK("https://fin.land.naver.com/articles/2655258476",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세종대박</t>
        </is>
      </c>
      <c r="P1991" s="4" t="n">
        <v>2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826</v>
      </c>
      <c r="H1997" s="4" t="n">
        <v>250</v>
      </c>
      <c r="I1997" s="5" t="n">
        <v>110</v>
      </c>
      <c r="J1997" s="5" t="n">
        <v>113.1</v>
      </c>
      <c r="K1997" s="3" t="inlineStr">
        <is>
          <t>조치원 생활권 인접 도로접 자연녹지 토지</t>
        </is>
      </c>
      <c r="L1997" s="6">
        <f>HYPERLINK("https://fin.land.naver.com/articles/2655056197",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세종소담황금</t>
        </is>
      </c>
      <c r="P1997" s="4" t="n">
        <v>2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828</v>
      </c>
      <c r="H1998" s="4" t="n">
        <v>250</v>
      </c>
      <c r="I1998" s="5" t="n">
        <v>110</v>
      </c>
      <c r="J1998" s="5" t="n">
        <v>113.1</v>
      </c>
      <c r="K1998" s="3" t="inlineStr">
        <is>
          <t>월하리 도시지역 자연녹지의 포장도로에 접한 농촌체류형 쉼터로 적합한 전</t>
        </is>
      </c>
      <c r="L1998" s="6">
        <f>HYPERLINK("https://fin.land.naver.com/articles/2655805027",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스마일세종</t>
        </is>
      </c>
      <c r="P1998" s="4" t="n">
        <v>4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답</t>
        </is>
      </c>
      <c r="E2045" s="3" t="inlineStr">
        <is>
          <t>매매</t>
        </is>
      </c>
      <c r="F2045" s="4" t="n">
        <v>6750</v>
      </c>
      <c r="G2045" s="4" t="n">
        <v>1402</v>
      </c>
      <c r="H2045" s="4" t="n">
        <v>424</v>
      </c>
      <c r="I2045" s="5" t="n">
        <v>15.9</v>
      </c>
      <c r="J2045" s="5" t="n">
        <v>10.8</v>
      </c>
      <c r="K2045" s="3" t="inlineStr">
        <is>
          <t>구거 접해 있지만 맹지입니다.</t>
        </is>
      </c>
      <c r="L2045" s="6">
        <f>HYPERLINK("https://fin.land.naver.com/articles/2652005290",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세종땅사랑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전</t>
        </is>
      </c>
      <c r="E2046" s="3" t="inlineStr">
        <is>
          <t>매매</t>
        </is>
      </c>
      <c r="F2046" s="4" t="n">
        <v>7000</v>
      </c>
      <c r="G2046" s="4" t="n">
        <v>1401</v>
      </c>
      <c r="H2046" s="4" t="n">
        <v>424</v>
      </c>
      <c r="I2046" s="5" t="n">
        <v>16.5</v>
      </c>
      <c r="J2046" s="5" t="n">
        <v>10.8</v>
      </c>
      <c r="K2046" s="3" t="inlineStr">
        <is>
          <t>급매.과수원추천.보전관리.성장관리계획구역.영농여건불리농지. 대토추천.</t>
        </is>
      </c>
      <c r="L2046" s="6">
        <f>HYPERLINK("https://fin.land.naver.com/articles/2656512013",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휴튼9단지세교신도시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12700</v>
      </c>
      <c r="G2047" s="4" t="n">
        <v>1402</v>
      </c>
      <c r="H2047" s="4" t="n">
        <v>424</v>
      </c>
      <c r="I2047" s="5" t="n">
        <v>30</v>
      </c>
      <c r="J2047" s="5" t="n">
        <v>10.8</v>
      </c>
      <c r="K2047" s="3" t="inlineStr">
        <is>
          <t>절충가능하고 대토용으로 추천드림니다</t>
        </is>
      </c>
      <c r="L2047" s="6">
        <f>HYPERLINK("https://fin.land.naver.com/articles/2654814455",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솔미초 인근 다가구용 토지 매매</t>
        </is>
      </c>
      <c r="L2098" s="6">
        <f>HYPERLINK("https://fin.land.naver.com/articles/2655757570",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광장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nan</t>
        </is>
      </c>
      <c r="L2099" s="6">
        <f>HYPERLINK("https://fin.land.naver.com/articles/2652690757",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365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49000</v>
      </c>
      <c r="G2101" s="4" t="n">
        <v>271</v>
      </c>
      <c r="H2101" s="4" t="n">
        <v>82</v>
      </c>
      <c r="I2101" s="5" t="n">
        <v>597.6</v>
      </c>
      <c r="J2101" s="5" t="n">
        <v>236</v>
      </c>
      <c r="K2101" s="3" t="inlineStr">
        <is>
          <t>다가구주택용 대지, 임대세대 구성하기 좋은 면적</t>
        </is>
      </c>
      <c r="L2101" s="6">
        <f>HYPERLINK("https://fin.land.naver.com/articles/2651430081",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39000</v>
      </c>
      <c r="G2102" s="4" t="n">
        <v>271</v>
      </c>
      <c r="H2102" s="4" t="n">
        <v>82</v>
      </c>
      <c r="I2102" s="5" t="n">
        <v>475.6</v>
      </c>
      <c r="J2102" s="5" t="n">
        <v>236</v>
      </c>
      <c r="K2102" s="3" t="inlineStr">
        <is>
          <t>수익율 좋은 다가구주택 건축하여 건물주님 되어보세요</t>
        </is>
      </c>
      <c r="L2102" s="6">
        <f>HYPERLINK("https://fin.land.naver.com/articles/2653487751",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프로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매가 조정하여 매2.6억원 오송 산단주변 농림지역 매매</t>
        </is>
      </c>
      <c r="L2111" s="6">
        <f>HYPERLINK("https://fin.land.naver.com/articles/2651395740",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로데오상가</t>
        </is>
      </c>
      <c r="P2111" s="4" t="n">
        <v>1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농림지역, 도로접함, 영농 및 농가주택 가능</t>
        </is>
      </c>
      <c r="L2112" s="6">
        <f>HYPERLINK("https://fin.land.naver.com/articles/2655847653",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세종나라</t>
        </is>
      </c>
      <c r="P2112" s="4" t="n">
        <v>9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150000</v>
      </c>
      <c r="G2124" s="4" t="n">
        <v>2849</v>
      </c>
      <c r="H2124" s="4" t="n">
        <v>862</v>
      </c>
      <c r="I2124" s="5" t="n">
        <v>174</v>
      </c>
      <c r="J2124" s="5" t="n">
        <v>38.1</v>
      </c>
      <c r="K2124" s="3" t="inlineStr">
        <is>
          <t>서울세종간 제2고속도로이용(오송ic) 2차 지방도접 입지 최고</t>
        </is>
      </c>
      <c r="L2124" s="6">
        <f>HYPERLINK("https://fin.land.naver.com/articles/2652103214",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138000</v>
      </c>
      <c r="G2125" s="4" t="n">
        <v>2849</v>
      </c>
      <c r="H2125" s="4" t="n">
        <v>862</v>
      </c>
      <c r="I2125" s="5" t="n">
        <v>160.1</v>
      </c>
      <c r="J2125" s="5" t="n">
        <v>38.1</v>
      </c>
      <c r="K2125" s="3" t="inlineStr">
        <is>
          <t>2차선 코너도로접 화장품산단 인접 성토완료</t>
        </is>
      </c>
      <c r="L2125" s="6">
        <f>HYPERLINK("https://fin.land.naver.com/articles/2654059997",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플러스태양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 제3생명과학 국가산업단지 인근토지, 2차선도로에 접함,두필지,절충</t>
        </is>
      </c>
      <c r="L2135" s="6">
        <f>HYPERLINK("https://fin.land.naver.com/articles/2651207738",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금호무소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오송3산단 배후지 및 토지거래허가 해제로 지가 상승중인 유망 투자지역</t>
        </is>
      </c>
      <c r="L2136" s="6">
        <f>HYPERLINK("https://fin.land.naver.com/articles/2653326517",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청주모충사모1/2LH트릴로채명성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창고용지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오송제3산업단지 도로변 토지</t>
        </is>
      </c>
      <c r="L2138" s="6">
        <f>HYPERLINK("https://fin.land.naver.com/articles/2655257725",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세종대박</t>
        </is>
      </c>
      <c r="P2138" s="4" t="n">
        <v>2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답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매물 특징</t>
        </is>
      </c>
      <c r="L2139" s="6">
        <f>HYPERLINK("https://fin.land.naver.com/articles/2653143304",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오송궁평마을</t>
        </is>
      </c>
      <c r="P2139" s="4" t="n">
        <v>1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답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2차선도로접한3필지일괄매매,창고는 현재 임대중,그리고 복숭아밭으로이용중</t>
        </is>
      </c>
      <c r="L2148" s="6">
        <f>HYPERLINK("https://fin.land.naver.com/articles/2652138120",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담뜰</t>
        </is>
      </c>
      <c r="P2148" s="4" t="n">
        <v>1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창고용지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오송제3산업단지 인근 2차선도로에 접한 창고 및 과수원 급매합니다</t>
        </is>
      </c>
      <c r="L2149" s="6">
        <f>HYPERLINK("https://fin.land.naver.com/articles/2653607197",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스마일세종</t>
        </is>
      </c>
      <c r="P2149" s="4" t="n">
        <v>2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nan</t>
        </is>
      </c>
      <c r="L2178" s="6">
        <f>HYPERLINK("https://fin.land.naver.com/articles/2651794517",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바른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외1필지 호텔이나 오피스텔로 투자 적합</t>
        </is>
      </c>
      <c r="L2179" s="6">
        <f>HYPERLINK("https://fin.land.naver.com/articles/2656409555",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옥산하늘채 주식회사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245000</v>
      </c>
      <c r="G2186" s="4" t="n">
        <v>810</v>
      </c>
      <c r="H2186" s="4" t="n">
        <v>245</v>
      </c>
      <c r="I2186" s="5" t="n">
        <v>1000</v>
      </c>
      <c r="J2186" s="5" t="n">
        <v>313.2</v>
      </c>
      <c r="K2186" s="3" t="inlineStr">
        <is>
          <t>6차선변 주유소현 휴업중 매매</t>
        </is>
      </c>
      <c r="L2186" s="6">
        <f>HYPERLINK("https://fin.land.naver.com/articles/2654551158",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250000</v>
      </c>
      <c r="G2187" s="4" t="n">
        <v>809</v>
      </c>
      <c r="H2187" s="4" t="n">
        <v>245</v>
      </c>
      <c r="I2187" s="5" t="n">
        <v>1020.4</v>
      </c>
      <c r="J2187" s="5" t="n">
        <v>313.2</v>
      </c>
      <c r="K2187" s="3" t="inlineStr">
        <is>
          <t>배후시장 탄탄한 6차선 대로변 토지</t>
        </is>
      </c>
      <c r="L2187" s="6">
        <f>HYPERLINK("https://fin.land.naver.com/articles/2651523803",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140000</v>
      </c>
      <c r="G2198" s="4" t="n">
        <v>548</v>
      </c>
      <c r="H2198" s="4" t="n">
        <v>166</v>
      </c>
      <c r="I2198" s="5" t="n">
        <v>843.4</v>
      </c>
      <c r="J2198" s="5" t="n">
        <v>347.1</v>
      </c>
      <c r="K2198" s="3" t="inlineStr">
        <is>
          <t>급매, 오송 국민체육센터 인근 토지 매매</t>
        </is>
      </c>
      <c r="L2198" s="6">
        <f>HYPERLINK("https://fin.land.naver.com/articles/2653824329",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광장</t>
        </is>
      </c>
      <c r="P2198" s="4" t="n">
        <v>1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166000</v>
      </c>
      <c r="G2199" s="4" t="n">
        <v>548</v>
      </c>
      <c r="H2199" s="4" t="n">
        <v>166</v>
      </c>
      <c r="I2199" s="5" t="n">
        <v>1000</v>
      </c>
      <c r="J2199" s="5" t="n">
        <v>347.1</v>
      </c>
      <c r="K2199" s="3" t="inlineStr">
        <is>
          <t>오송 2산단 지원시설용지  아파트 인접한 대로변 토지 근생 건물등 가능</t>
        </is>
      </c>
      <c r="L2199" s="6">
        <f>HYPERLINK("https://fin.land.naver.com/articles/2652625205",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더원</t>
        </is>
      </c>
      <c r="P2199" s="4" t="n">
        <v>3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산업단지 시작 코너 자리, 아파트 세대 배후.</t>
        </is>
      </c>
      <c r="L2201" s="6">
        <f>HYPERLINK("https://fin.land.naver.com/articles/2652526004",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대한민국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143000</v>
      </c>
      <c r="G2209" s="4" t="n">
        <v>590</v>
      </c>
      <c r="H2209" s="4" t="n">
        <v>178</v>
      </c>
      <c r="I2209" s="5" t="n">
        <v>803.4</v>
      </c>
      <c r="J2209" s="5" t="n">
        <v>256.4</v>
      </c>
      <c r="K2209" s="3" t="inlineStr">
        <is>
          <t>신도시 대단지아파트인접  지원시설용지</t>
        </is>
      </c>
      <c r="L2209" s="6">
        <f>HYPERLINK("https://fin.land.naver.com/articles/2651351013",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오송원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125000</v>
      </c>
      <c r="G2210" s="4" t="n">
        <v>590</v>
      </c>
      <c r="H2210" s="4" t="n">
        <v>178</v>
      </c>
      <c r="I2210" s="5" t="n">
        <v>702.2</v>
      </c>
      <c r="J2210" s="5" t="n">
        <v>256.4</v>
      </c>
      <c r="K2210" s="3" t="inlineStr">
        <is>
          <t>지원시설용지 매매</t>
        </is>
      </c>
      <c r="L2210" s="6">
        <f>HYPERLINK("https://fin.land.naver.com/articles/2652685303",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대한민국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유구읍 구계리 184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답</t>
        </is>
      </c>
      <c r="E2221" s="3" t="inlineStr">
        <is>
          <t>매매</t>
        </is>
      </c>
      <c r="F2221" s="4" t="n">
        <v>50000</v>
      </c>
      <c r="G2221" s="4" t="n">
        <v>5874</v>
      </c>
      <c r="H2221" s="4" t="n">
        <v>1777</v>
      </c>
      <c r="I2221" s="5" t="n">
        <v>28.1</v>
      </c>
      <c r="J2221" s="5" t="n">
        <v>17.9</v>
      </c>
      <c r="K2221" s="3" t="inlineStr">
        <is>
          <t>nan</t>
        </is>
      </c>
      <c r="L2221" s="6">
        <f>HYPERLINK("https://fin.land.naver.com/articles/2656180388", "매물Link")</f>
        <v/>
      </c>
      <c r="M2221" s="6">
        <f>HYPERLINK("https://map.naver.com/p/search/유구읍 구계리 184", "지도Link")</f>
        <v/>
      </c>
      <c r="N2221" s="6">
        <f>HYPERLINK("http://www.eum.go.kr/web/ar/lu/luLandDet.jsp?pnu=4415025030101840000&amp;isNoScr=script&amp;mode=search", "토지이음")</f>
        <v/>
      </c>
      <c r="O2221" s="3" t="inlineStr">
        <is>
          <t>이야기</t>
        </is>
      </c>
      <c r="P2221" s="4" t="n">
        <v>1</v>
      </c>
      <c r="Q2221" s="4" t="n">
        <v>479</v>
      </c>
      <c r="R2221" s="3" t="inlineStr">
        <is>
          <t>지정되지않음</t>
        </is>
      </c>
      <c r="S2221" s="3" t="inlineStr">
        <is>
          <t>단독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유구읍 구계리 375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</v>
      </c>
      <c r="G2222" s="4" t="n">
        <v>3101</v>
      </c>
      <c r="H2222" s="4" t="n">
        <v>938</v>
      </c>
      <c r="I2222" s="5" t="n">
        <v>21.3</v>
      </c>
      <c r="J2222" s="5" t="n">
        <v>9.4</v>
      </c>
      <c r="K2222" s="3" t="inlineStr">
        <is>
          <t>주변환경좋은 유구읍 구계리 전원주택지 또는 농촌체류형쉼터부지</t>
        </is>
      </c>
      <c r="L2222" s="6">
        <f>HYPERLINK("https://fin.land.naver.com/articles/2654141235", "매물Link")</f>
        <v/>
      </c>
      <c r="M2222" s="6">
        <f>HYPERLINK("https://map.naver.com/p/search/유구읍 구계리 375", "지도Link")</f>
        <v/>
      </c>
      <c r="N2222" s="6">
        <f>HYPERLINK("http://www.eum.go.kr/web/ar/lu/luLandDet.jsp?pnu=4415025030103750000&amp;isNoScr=script&amp;mode=search", "토지이음")</f>
        <v/>
      </c>
      <c r="O2222" s="3" t="inlineStr">
        <is>
          <t>그린</t>
        </is>
      </c>
      <c r="P2222" s="4" t="n">
        <v>1</v>
      </c>
      <c r="Q2222" s="4" t="n">
        <v>2777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유구읍 구계리 398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5700</v>
      </c>
      <c r="G2223" s="4" t="n">
        <v>754</v>
      </c>
      <c r="H2223" s="4" t="n">
        <v>228</v>
      </c>
      <c r="I2223" s="5" t="n">
        <v>25</v>
      </c>
      <c r="J2223" s="5" t="n">
        <v>9.4</v>
      </c>
      <c r="K2223" s="3" t="inlineStr">
        <is>
          <t>물맑은 마곡사인근 농촌체류형 쉼터부지</t>
        </is>
      </c>
      <c r="L2223" s="6">
        <f>HYPERLINK("https://fin.land.naver.com/articles/2654284411", "매물Link")</f>
        <v/>
      </c>
      <c r="M2223" s="6">
        <f>HYPERLINK("https://map.naver.com/p/search/유구읍 구계리 398", "지도Link")</f>
        <v/>
      </c>
      <c r="N2223" s="6">
        <f>HYPERLINK("http://www.eum.go.kr/web/ar/lu/luLandDet.jsp?pnu=4415025030103980000&amp;isNoScr=script&amp;mode=search", "토지이음")</f>
        <v/>
      </c>
      <c r="O2223" s="3" t="inlineStr">
        <is>
          <t>그린</t>
        </is>
      </c>
      <c r="P2223" s="4" t="n">
        <v>1</v>
      </c>
      <c r="Q2223" s="4" t="n">
        <v>754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유구읍 구계리 530-3</t>
        </is>
      </c>
      <c r="B2224" s="3" t="inlineStr">
        <is>
          <t>보전관리지역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18000</v>
      </c>
      <c r="G2224" s="4" t="n">
        <v>1322</v>
      </c>
      <c r="H2224" s="4" t="n">
        <v>400</v>
      </c>
      <c r="I2224" s="5" t="n">
        <v>45</v>
      </c>
      <c r="J2224" s="5" t="n">
        <v>8.1</v>
      </c>
      <c r="K2224" s="3" t="inlineStr">
        <is>
          <t>유구농공단지 인근 농막 전기 상수도 설치된 주말농장 전원주택 추천</t>
        </is>
      </c>
      <c r="L2224" s="6">
        <f>HYPERLINK("https://fin.land.naver.com/articles/2652796211", "매물Link")</f>
        <v/>
      </c>
      <c r="M2224" s="6">
        <f>HYPERLINK("https://map.naver.com/p/search/유구읍 구계리 530-3", "지도Link")</f>
        <v/>
      </c>
      <c r="N2224" s="6">
        <f>HYPERLINK("http://www.eum.go.kr/web/ar/lu/luLandDet.jsp?pnu=4415025030105300003&amp;isNoScr=script&amp;mode=search", "토지이음")</f>
        <v/>
      </c>
      <c r="O2224" s="3" t="inlineStr">
        <is>
          <t>나침반</t>
        </is>
      </c>
      <c r="P2224" s="4" t="n">
        <v>1</v>
      </c>
      <c r="Q2224" s="4" t="n">
        <v>1322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유구읍 구계리 산13-10</t>
        </is>
      </c>
      <c r="B2225" s="3" t="inlineStr">
        <is>
          <t>계획관리지역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15000</v>
      </c>
      <c r="G2225" s="4" t="n">
        <v>21563</v>
      </c>
      <c r="H2225" s="4" t="n">
        <v>6523</v>
      </c>
      <c r="I2225" s="5" t="n">
        <v>2.3</v>
      </c>
      <c r="J2225" s="5" t="n">
        <v>2.1</v>
      </c>
      <c r="K2225" s="3" t="inlineStr">
        <is>
          <t>전원 주택 ,임업</t>
        </is>
      </c>
      <c r="L2225" s="6">
        <f>HYPERLINK("https://fin.land.naver.com/articles/2651855562", "매물Link")</f>
        <v/>
      </c>
      <c r="M2225" s="6">
        <f>HYPERLINK("https://map.naver.com/p/search/유구읍 구계리 산13-10", "지도Link")</f>
        <v/>
      </c>
      <c r="N2225" s="6">
        <f>HYPERLINK("http://www.eum.go.kr/web/ar/lu/luLandDet.jsp?pnu=4415025030200130010&amp;isNoScr=script&amp;mode=search", "토지이음")</f>
        <v/>
      </c>
      <c r="O2225" s="3" t="inlineStr">
        <is>
          <t>성성합동</t>
        </is>
      </c>
      <c r="P2225" s="4" t="n">
        <v>1</v>
      </c>
      <c r="Q2225" s="4" t="n">
        <v>2314</v>
      </c>
      <c r="R2225" s="3" t="inlineStr">
        <is>
          <t>농림지역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세로한면(불)</t>
        </is>
      </c>
    </row>
    <row r="2226">
      <c r="A2226" s="3" t="inlineStr">
        <is>
          <t>유구읍 노동리 87-1</t>
        </is>
      </c>
      <c r="B2226" s="3" t="inlineStr">
        <is>
          <t>계획관리지역</t>
        </is>
      </c>
      <c r="C2226" s="3" t="inlineStr">
        <is>
          <t>답</t>
        </is>
      </c>
      <c r="D2226" s="3" t="inlineStr">
        <is>
          <t>답</t>
        </is>
      </c>
      <c r="E2226" s="3" t="inlineStr">
        <is>
          <t>매매</t>
        </is>
      </c>
      <c r="F2226" s="4" t="n">
        <v>3000</v>
      </c>
      <c r="G2226" s="4" t="n">
        <v>237</v>
      </c>
      <c r="H2226" s="4" t="n">
        <v>72</v>
      </c>
      <c r="I2226" s="5" t="n">
        <v>41.7</v>
      </c>
      <c r="J2226" s="5" t="n">
        <v>3.6</v>
      </c>
      <c r="K2226" s="3" t="inlineStr">
        <is>
          <t>완전 급매 토지 매매</t>
        </is>
      </c>
      <c r="L2226" s="6">
        <f>HYPERLINK("https://fin.land.naver.com/articles/2650907975", "매물Link")</f>
        <v/>
      </c>
      <c r="M2226" s="6">
        <f>HYPERLINK("https://map.naver.com/p/search/유구읍 노동리 87-1", "지도Link")</f>
        <v/>
      </c>
      <c r="N2226" s="6">
        <f>HYPERLINK("http://www.eum.go.kr/web/ar/lu/luLandDet.jsp?pnu=4415025022100870001&amp;isNoScr=script&amp;mode=search", "토지이음")</f>
        <v/>
      </c>
      <c r="O2226" s="3" t="inlineStr">
        <is>
          <t>태양투</t>
        </is>
      </c>
      <c r="P2226" s="4" t="n">
        <v>1</v>
      </c>
      <c r="Q2226" s="4" t="n">
        <v>237</v>
      </c>
      <c r="R2226" s="3" t="inlineStr">
        <is>
          <t>지정되지않음</t>
        </is>
      </c>
      <c r="S2226" s="3" t="inlineStr">
        <is>
          <t>답</t>
        </is>
      </c>
      <c r="T2226" s="3" t="inlineStr">
        <is>
          <t>완경사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유구읍 녹천리 42-12</t>
        </is>
      </c>
      <c r="B2227" s="3" t="inlineStr">
        <is>
          <t>준공업지역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3000</v>
      </c>
      <c r="G2227" s="4" t="n">
        <v>196</v>
      </c>
      <c r="H2227" s="4" t="n">
        <v>59</v>
      </c>
      <c r="I2227" s="5" t="n">
        <v>50.8</v>
      </c>
      <c r="J2227" s="5" t="n">
        <v>33.7</v>
      </c>
      <c r="K2227" s="3" t="inlineStr">
        <is>
          <t>농취증없이 구입 가능, 준공업지역</t>
        </is>
      </c>
      <c r="L2227" s="6">
        <f>HYPERLINK("https://fin.land.naver.com/articles/2655730007", "매물Link")</f>
        <v/>
      </c>
      <c r="M2227" s="6">
        <f>HYPERLINK("https://map.naver.com/p/search/유구읍 녹천리 42-12", "지도Link")</f>
        <v/>
      </c>
      <c r="N2227" s="6">
        <f>HYPERLINK("http://www.eum.go.kr/web/ar/lu/luLandDet.jsp?pnu=4415025025100420012&amp;isNoScr=script&amp;mode=search", "토지이음")</f>
        <v/>
      </c>
      <c r="O2227" s="3" t="inlineStr">
        <is>
          <t>더리턴</t>
        </is>
      </c>
      <c r="P2227" s="4" t="n">
        <v>1</v>
      </c>
      <c r="Q2227" s="4" t="n">
        <v>393</v>
      </c>
      <c r="R2227" s="3" t="inlineStr">
        <is>
          <t>제2종일반주거지역</t>
        </is>
      </c>
      <c r="S2227" s="3" t="inlineStr">
        <is>
          <t>공업기타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유구읍 녹천리 680-6</t>
        </is>
      </c>
      <c r="B2228" s="3" t="inlineStr">
        <is>
          <t>자연녹지지역</t>
        </is>
      </c>
      <c r="C2228" s="3" t="inlineStr">
        <is>
          <t>답</t>
        </is>
      </c>
      <c r="D2228" s="3" t="inlineStr">
        <is>
          <t>답</t>
        </is>
      </c>
      <c r="E2228" s="3" t="inlineStr">
        <is>
          <t>매매</t>
        </is>
      </c>
      <c r="F2228" s="4" t="n">
        <v>22400</v>
      </c>
      <c r="G2228" s="4" t="n">
        <v>2462</v>
      </c>
      <c r="H2228" s="4" t="n">
        <v>745</v>
      </c>
      <c r="I2228" s="5" t="n">
        <v>30.1</v>
      </c>
      <c r="J2228" s="5" t="n">
        <v>17.2</v>
      </c>
      <c r="K2228" s="3" t="inlineStr">
        <is>
          <t>유구IC가까운 하천옆 자연녹지 답</t>
        </is>
      </c>
      <c r="L2228" s="6">
        <f>HYPERLINK("https://fin.land.naver.com/articles/2654285584", "매물Link")</f>
        <v/>
      </c>
      <c r="M2228" s="6">
        <f>HYPERLINK("https://map.naver.com/p/search/유구읍 녹천리 680-6", "지도Link")</f>
        <v/>
      </c>
      <c r="N2228" s="6">
        <f>HYPERLINK("http://www.eum.go.kr/web/ar/lu/luLandDet.jsp?pnu=4415025025106800006&amp;isNoScr=script&amp;mode=search", "토지이음")</f>
        <v/>
      </c>
      <c r="O2228" s="3" t="inlineStr">
        <is>
          <t>그린</t>
        </is>
      </c>
      <c r="P2228" s="4" t="n">
        <v>1</v>
      </c>
      <c r="Q2228" s="4" t="n">
        <v>757</v>
      </c>
      <c r="R2228" s="3" t="inlineStr">
        <is>
          <t>지정되지않음</t>
        </is>
      </c>
      <c r="S2228" s="3" t="inlineStr">
        <is>
          <t>답</t>
        </is>
      </c>
      <c r="T2228" s="3" t="inlineStr">
        <is>
          <t>평지</t>
        </is>
      </c>
      <c r="U2228" s="3" t="inlineStr">
        <is>
          <t>부정형</t>
        </is>
      </c>
      <c r="V2228" s="3" t="inlineStr">
        <is>
          <t>세로한면(불)</t>
        </is>
      </c>
    </row>
    <row r="2229">
      <c r="A2229" s="3" t="inlineStr">
        <is>
          <t>유구읍 녹천리 76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32000</v>
      </c>
      <c r="G2229" s="4" t="n">
        <v>2539</v>
      </c>
      <c r="H2229" s="4" t="n">
        <v>768</v>
      </c>
      <c r="I2229" s="5" t="n">
        <v>41.7</v>
      </c>
      <c r="J2229" s="5" t="n">
        <v>13.3</v>
      </c>
      <c r="K2229" s="3" t="inlineStr">
        <is>
          <t>유구색동수국정원인근 관불산 등산로입구 전원주택지</t>
        </is>
      </c>
      <c r="L2229" s="6">
        <f>HYPERLINK("https://fin.land.naver.com/articles/2654137910", "매물Link")</f>
        <v/>
      </c>
      <c r="M2229" s="6">
        <f>HYPERLINK("https://map.naver.com/p/search/유구읍 녹천리 76", "지도Link")</f>
        <v/>
      </c>
      <c r="N2229" s="6">
        <f>HYPERLINK("http://www.eum.go.kr/web/ar/lu/luLandDet.jsp?pnu=4415025025100760000&amp;isNoScr=script&amp;mode=search", "토지이음")</f>
        <v/>
      </c>
      <c r="O2229" s="3" t="inlineStr">
        <is>
          <t>그린</t>
        </is>
      </c>
      <c r="P2229" s="4" t="n">
        <v>1</v>
      </c>
      <c r="Q2229" s="4" t="n">
        <v>2539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유구읍 녹천리 산51-1</t>
        </is>
      </c>
      <c r="B2230" s="3" t="inlineStr">
        <is>
          <t>계획관리지역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4000</v>
      </c>
      <c r="G2230" s="4" t="n">
        <v>3769</v>
      </c>
      <c r="H2230" s="4" t="n">
        <v>1140</v>
      </c>
      <c r="I2230" s="5" t="n">
        <v>3.5</v>
      </c>
      <c r="J2230" s="5" t="n">
        <v>2.9</v>
      </c>
      <c r="K2230" s="3" t="inlineStr">
        <is>
          <t>유구읍 고현천변에 위치한 전으로 사용된 임야</t>
        </is>
      </c>
      <c r="L2230" s="6">
        <f>HYPERLINK("https://fin.land.naver.com/articles/2652017647", "매물Link")</f>
        <v/>
      </c>
      <c r="M2230" s="6">
        <f>HYPERLINK("https://map.naver.com/p/search/유구읍 녹천리 산51-1", "지도Link")</f>
        <v/>
      </c>
      <c r="N2230" s="6">
        <f>HYPERLINK("http://www.eum.go.kr/web/ar/lu/luLandDet.jsp?pnu=4415025025200510001&amp;isNoScr=script&amp;mode=search", "토지이음")</f>
        <v/>
      </c>
      <c r="O2230" s="3" t="inlineStr">
        <is>
          <t>그린</t>
        </is>
      </c>
      <c r="P2230" s="4" t="n">
        <v>1</v>
      </c>
      <c r="Q2230" s="4" t="n">
        <v>3769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급경사</t>
        </is>
      </c>
      <c r="U2230" s="3" t="inlineStr">
        <is>
          <t>부정형</t>
        </is>
      </c>
      <c r="V2230" s="3" t="inlineStr">
        <is>
          <t>맹지</t>
        </is>
      </c>
    </row>
    <row r="2231">
      <c r="A2231" s="3" t="inlineStr">
        <is>
          <t>유구읍 녹천리 산51-1</t>
        </is>
      </c>
      <c r="B2231" s="3" t="inlineStr">
        <is>
          <t>계획관리지역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7000</v>
      </c>
      <c r="G2231" s="4" t="n">
        <v>3769</v>
      </c>
      <c r="H2231" s="4" t="n">
        <v>1140</v>
      </c>
      <c r="I2231" s="5" t="n">
        <v>6.1</v>
      </c>
      <c r="J2231" s="5" t="n">
        <v>2.9</v>
      </c>
      <c r="K2231" s="3" t="inlineStr">
        <is>
          <t>2차선 도로접 계획관리,조망권뷰 최상 알토란 토지,가격조정가능</t>
        </is>
      </c>
      <c r="L2231" s="6">
        <f>HYPERLINK("https://fin.land.naver.com/articles/2653434378", "매물Link")</f>
        <v/>
      </c>
      <c r="M2231" s="6">
        <f>HYPERLINK("https://map.naver.com/p/search/유구읍 녹천리 산51-1", "지도Link")</f>
        <v/>
      </c>
      <c r="N2231" s="6">
        <f>HYPERLINK("http://www.eum.go.kr/web/ar/lu/luLandDet.jsp?pnu=4415025025200510001&amp;isNoScr=script&amp;mode=search", "토지이음")</f>
        <v/>
      </c>
      <c r="O2231" s="3" t="inlineStr">
        <is>
          <t>고운맘</t>
        </is>
      </c>
      <c r="P2231" s="4" t="n">
        <v>1</v>
      </c>
      <c r="Q2231" s="4" t="n">
        <v>3769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급경사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유구읍 덕곡리 134-1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전</t>
        </is>
      </c>
      <c r="E2232" s="3" t="inlineStr">
        <is>
          <t>매매</t>
        </is>
      </c>
      <c r="F2232" s="4" t="n">
        <v>16500</v>
      </c>
      <c r="G2232" s="4" t="n">
        <v>3321</v>
      </c>
      <c r="H2232" s="4" t="n">
        <v>1005</v>
      </c>
      <c r="I2232" s="5" t="n">
        <v>16.4</v>
      </c>
      <c r="J2232" s="5" t="n">
        <v>7.9</v>
      </c>
      <c r="K2232" s="3" t="inlineStr">
        <is>
          <t>유구덕곡리토지매매 펜션 전원주택 캠핑 주말농장  청정지역</t>
        </is>
      </c>
      <c r="L2232" s="6">
        <f>HYPERLINK("https://fin.land.naver.com/articles/2655037606", "매물Link")</f>
        <v/>
      </c>
      <c r="M2232" s="6">
        <f>HYPERLINK("https://map.naver.com/p/search/유구읍 덕곡리 134-1", "지도Link")</f>
        <v/>
      </c>
      <c r="N2232" s="6">
        <f>HYPERLINK("http://www.eum.go.kr/web/ar/lu/luLandDet.jsp?pnu=4415025034101340001&amp;isNoScr=script&amp;mode=search", "토지이음")</f>
        <v/>
      </c>
      <c r="O2232" s="3" t="inlineStr">
        <is>
          <t>탕정황금사사무소</t>
        </is>
      </c>
      <c r="P2232" s="4" t="n">
        <v>1</v>
      </c>
      <c r="Q2232" s="4" t="n">
        <v>3321</v>
      </c>
      <c r="R2232" s="3" t="inlineStr">
        <is>
          <t>지정되지않음</t>
        </is>
      </c>
      <c r="S2232" s="3" t="inlineStr">
        <is>
          <t>전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유구읍 덕곡리 168-1</t>
        </is>
      </c>
      <c r="B2233" s="3" t="inlineStr">
        <is>
          <t>계획관리지역</t>
        </is>
      </c>
      <c r="C2233" s="3" t="inlineStr">
        <is>
          <t>답</t>
        </is>
      </c>
      <c r="D2233" s="3" t="inlineStr">
        <is>
          <t>답</t>
        </is>
      </c>
      <c r="E2233" s="3" t="inlineStr">
        <is>
          <t>매매</t>
        </is>
      </c>
      <c r="F2233" s="4" t="n">
        <v>13000</v>
      </c>
      <c r="G2233" s="4" t="n">
        <v>1488</v>
      </c>
      <c r="H2233" s="4" t="n">
        <v>450</v>
      </c>
      <c r="I2233" s="5" t="n">
        <v>28.9</v>
      </c>
      <c r="J2233" s="5" t="n">
        <v>8.9</v>
      </c>
      <c r="K2233" s="3" t="inlineStr">
        <is>
          <t>분할가능 물이 흐르는 땅. 농촌체류형쉼터, 농막 하기좋은 땅</t>
        </is>
      </c>
      <c r="L2233" s="6">
        <f>HYPERLINK("https://fin.land.naver.com/articles/2651862256", "매물Link")</f>
        <v/>
      </c>
      <c r="M2233" s="6">
        <f>HYPERLINK("https://map.naver.com/p/search/유구읍 덕곡리 168-1", "지도Link")</f>
        <v/>
      </c>
      <c r="N2233" s="6">
        <f>HYPERLINK("http://www.eum.go.kr/web/ar/lu/luLandDet.jsp?pnu=4415025034101680001&amp;isNoScr=script&amp;mode=search", "토지이음")</f>
        <v/>
      </c>
      <c r="O2233" s="3" t="inlineStr">
        <is>
          <t>원탑</t>
        </is>
      </c>
      <c r="P2233" s="4" t="n">
        <v>1</v>
      </c>
      <c r="Q2233" s="4" t="n">
        <v>1488</v>
      </c>
      <c r="R2233" s="3" t="inlineStr">
        <is>
          <t>지정되지않음</t>
        </is>
      </c>
      <c r="S2233" s="3" t="inlineStr">
        <is>
          <t>답</t>
        </is>
      </c>
      <c r="T2233" s="3" t="inlineStr">
        <is>
          <t>평지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유구읍 동해리 100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4000</v>
      </c>
      <c r="G2234" s="4" t="n">
        <v>357</v>
      </c>
      <c r="H2234" s="4" t="n">
        <v>108</v>
      </c>
      <c r="I2234" s="5" t="n">
        <v>37</v>
      </c>
      <c r="J2234" s="5" t="n">
        <v>8.300000000000001</v>
      </c>
      <c r="K2234" s="3" t="inlineStr">
        <is>
          <t>유구읍 동해리 도로접 계획관리 토지매매</t>
        </is>
      </c>
      <c r="L2234" s="6">
        <f>HYPERLINK("https://fin.land.naver.com/articles/2655891205", "매물Link")</f>
        <v/>
      </c>
      <c r="M2234" s="6">
        <f>HYPERLINK("https://map.naver.com/p/search/유구읍 동해리 100", "지도Link")</f>
        <v/>
      </c>
      <c r="N2234" s="6">
        <f>HYPERLINK("http://www.eum.go.kr/web/ar/lu/luLandDet.jsp?pnu=4415025037101000000&amp;isNoScr=script&amp;mode=search", "토지이음")</f>
        <v/>
      </c>
      <c r="O2234" s="3" t="inlineStr">
        <is>
          <t>재화</t>
        </is>
      </c>
      <c r="P2234" s="4" t="n">
        <v>2</v>
      </c>
      <c r="Q2234" s="4" t="n">
        <v>357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유구읍 동해리 235-2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16000</v>
      </c>
      <c r="G2235" s="4" t="n">
        <v>1851</v>
      </c>
      <c r="H2235" s="4" t="n">
        <v>560</v>
      </c>
      <c r="I2235" s="5" t="n">
        <v>28.6</v>
      </c>
      <c r="J2235" s="5" t="n">
        <v>3.8</v>
      </c>
      <c r="K2235" s="3" t="inlineStr">
        <is>
          <t>전원주택,주말농장,농막설치</t>
        </is>
      </c>
      <c r="L2235" s="6">
        <f>HYPERLINK("https://fin.land.naver.com/articles/2653875538", "매물Link")</f>
        <v/>
      </c>
      <c r="M2235" s="6">
        <f>HYPERLINK("https://map.naver.com/p/search/유구읍 동해리 235-2", "지도Link")</f>
        <v/>
      </c>
      <c r="N2235" s="6">
        <f>HYPERLINK("http://www.eum.go.kr/web/ar/lu/luLandDet.jsp?pnu=4415025037102350002&amp;isNoScr=script&amp;mode=search", "토지이음")</f>
        <v/>
      </c>
      <c r="O2235" s="3" t="inlineStr">
        <is>
          <t>성성합동</t>
        </is>
      </c>
      <c r="P2235" s="4" t="n">
        <v>1</v>
      </c>
      <c r="Q2235" s="4" t="n">
        <v>1851</v>
      </c>
      <c r="R2235" s="3" t="inlineStr">
        <is>
          <t>지정되지않음</t>
        </is>
      </c>
      <c r="S2235" s="3" t="inlineStr">
        <is>
          <t>답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유구읍 동해리 315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16000</v>
      </c>
      <c r="G2236" s="4" t="n">
        <v>975</v>
      </c>
      <c r="H2236" s="4" t="n">
        <v>295</v>
      </c>
      <c r="I2236" s="5" t="n">
        <v>54.2</v>
      </c>
      <c r="J2236" s="5" t="n">
        <v>8.300000000000001</v>
      </c>
      <c r="K2236" s="3" t="inlineStr">
        <is>
          <t>조용한 전원주택지,계획관리지역. 두필지 합435p 매매 ,소액으로투자</t>
        </is>
      </c>
      <c r="L2236" s="6">
        <f>HYPERLINK("https://fin.land.naver.com/articles/2656460968", "매물Link")</f>
        <v/>
      </c>
      <c r="M2236" s="6">
        <f>HYPERLINK("https://map.naver.com/p/search/유구읍 동해리 315", "지도Link")</f>
        <v/>
      </c>
      <c r="N2236" s="6">
        <f>HYPERLINK("http://www.eum.go.kr/web/ar/lu/luLandDet.jsp?pnu=4415025037103150000&amp;isNoScr=script&amp;mode=search", "토지이음")</f>
        <v/>
      </c>
      <c r="O2236" s="3" t="inlineStr">
        <is>
          <t>세종보물</t>
        </is>
      </c>
      <c r="P2236" s="4" t="n">
        <v>1</v>
      </c>
      <c r="Q2236" s="4" t="n">
        <v>975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세로한면(가)</t>
        </is>
      </c>
    </row>
    <row r="2237">
      <c r="A2237" s="3" t="inlineStr">
        <is>
          <t>유구읍 동해리 512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전</t>
        </is>
      </c>
      <c r="E2237" s="3" t="inlineStr">
        <is>
          <t>매매</t>
        </is>
      </c>
      <c r="F2237" s="4" t="n">
        <v>750</v>
      </c>
      <c r="G2237" s="4" t="n">
        <v>552</v>
      </c>
      <c r="H2237" s="4" t="n">
        <v>167</v>
      </c>
      <c r="I2237" s="5" t="n">
        <v>4.5</v>
      </c>
      <c r="J2237" s="5" t="n">
        <v>3.4</v>
      </c>
      <c r="K2237" s="3" t="inlineStr">
        <is>
          <t>작지만 목적이 분명한 동해리 계획관리지역 토지 매매</t>
        </is>
      </c>
      <c r="L2237" s="6">
        <f>HYPERLINK("https://fin.land.naver.com/articles/2655210335", "매물Link")</f>
        <v/>
      </c>
      <c r="M2237" s="6">
        <f>HYPERLINK("https://map.naver.com/p/search/유구읍 동해리 512", "지도Link")</f>
        <v/>
      </c>
      <c r="N2237" s="6">
        <f>HYPERLINK("http://www.eum.go.kr/web/ar/lu/luLandDet.jsp?pnu=4415025037105120000&amp;isNoScr=script&amp;mode=search",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552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급경사</t>
        </is>
      </c>
      <c r="U2237" s="3" t="inlineStr">
        <is>
          <t>부정형</t>
        </is>
      </c>
      <c r="V2237" s="3" t="inlineStr">
        <is>
          <t>맹지</t>
        </is>
      </c>
    </row>
    <row r="2238">
      <c r="A2238" s="3" t="inlineStr">
        <is>
          <t>유구읍 동해리 53</t>
        </is>
      </c>
      <c r="B2238" s="3" t="inlineStr">
        <is>
          <t>계획관리지역</t>
        </is>
      </c>
      <c r="C2238" s="3" t="inlineStr">
        <is>
          <t>답</t>
        </is>
      </c>
      <c r="D2238" s="3" t="inlineStr">
        <is>
          <t>대</t>
        </is>
      </c>
      <c r="E2238" s="3" t="inlineStr">
        <is>
          <t>매매</t>
        </is>
      </c>
      <c r="F2238" s="4" t="n">
        <v>12600</v>
      </c>
      <c r="G2238" s="4" t="n">
        <v>1931</v>
      </c>
      <c r="H2238" s="4" t="n">
        <v>584</v>
      </c>
      <c r="I2238" s="5" t="n">
        <v>21.6</v>
      </c>
      <c r="J2238" s="5" t="n">
        <v>4.1</v>
      </c>
      <c r="K2238" s="3" t="inlineStr">
        <is>
          <t>전원주택지로 각광받는 유구읍 동해리에 계획관리지역이 20만원초반대</t>
        </is>
      </c>
      <c r="L2238" s="6">
        <f>HYPERLINK("https://fin.land.naver.com/articles/2654138987", "매물Link")</f>
        <v/>
      </c>
      <c r="M2238" s="6">
        <f>HYPERLINK("https://map.naver.com/p/search/유구읍 동해리 53", "지도Link")</f>
        <v/>
      </c>
      <c r="N2238" s="6">
        <f>HYPERLINK("http://www.eum.go.kr/web/ar/lu/luLandDet.jsp?pnu=4415025037100530000&amp;isNoScr=script&amp;mode=search", "토지이음")</f>
        <v/>
      </c>
      <c r="O2238" s="3" t="inlineStr">
        <is>
          <t>그린</t>
        </is>
      </c>
      <c r="P2238" s="4" t="n">
        <v>1</v>
      </c>
      <c r="Q2238" s="4" t="n">
        <v>1313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급경사</t>
        </is>
      </c>
      <c r="U2238" s="3" t="inlineStr">
        <is>
          <t>부정형</t>
        </is>
      </c>
      <c r="V2238" s="3" t="inlineStr">
        <is>
          <t>맹지</t>
        </is>
      </c>
    </row>
    <row r="2239">
      <c r="A2239" s="3" t="inlineStr">
        <is>
          <t>유구읍 동해리 58-3</t>
        </is>
      </c>
      <c r="B2239" s="3" t="inlineStr">
        <is>
          <t>계획관리지역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50000</v>
      </c>
      <c r="G2239" s="4" t="n">
        <v>7292</v>
      </c>
      <c r="H2239" s="4" t="n">
        <v>2206</v>
      </c>
      <c r="I2239" s="5" t="n">
        <v>22.7</v>
      </c>
      <c r="J2239" s="5" t="n">
        <v>6.5</v>
      </c>
      <c r="K2239" s="3" t="inlineStr">
        <is>
          <t>마곡사절이 근거리에 있고 아산시, 천안시도 가까운 곳에 있고 소하천접함</t>
        </is>
      </c>
      <c r="L2239" s="6">
        <f>HYPERLINK("https://fin.land.naver.com/articles/2653195351", "매물Link")</f>
        <v/>
      </c>
      <c r="M2239" s="6">
        <f>HYPERLINK("https://map.naver.com/p/search/유구읍 동해리 58-3", "지도Link")</f>
        <v/>
      </c>
      <c r="N2239" s="6">
        <f>HYPERLINK("http://www.eum.go.kr/web/ar/lu/luLandDet.jsp?pnu=4415025037100580003&amp;isNoScr=script&amp;mode=search", "토지이음")</f>
        <v/>
      </c>
      <c r="O2239" s="3" t="inlineStr">
        <is>
          <t>(유)에이치케이소</t>
        </is>
      </c>
      <c r="P2239" s="4" t="n">
        <v>1</v>
      </c>
      <c r="Q2239" s="4" t="n">
        <v>2323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유구읍 동해리 621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2000</v>
      </c>
      <c r="G2240" s="4" t="n">
        <v>370</v>
      </c>
      <c r="H2240" s="4" t="n">
        <v>112</v>
      </c>
      <c r="I2240" s="5" t="n">
        <v>17.9</v>
      </c>
      <c r="J2240" s="5" t="n">
        <v>6.8</v>
      </c>
      <c r="K2240" s="3" t="inlineStr">
        <is>
          <t>동해리 청정지역, 조용하고 경치좋은 토지 매매</t>
        </is>
      </c>
      <c r="L2240" s="6">
        <f>HYPERLINK("https://fin.land.naver.com/articles/2654730951", "매물Link")</f>
        <v/>
      </c>
      <c r="M2240" s="6">
        <f>HYPERLINK("https://map.naver.com/p/search/유구읍 동해리 621", "지도Link")</f>
        <v/>
      </c>
      <c r="N2240" s="6">
        <f>HYPERLINK("http://www.eum.go.kr/web/ar/lu/luLandDet.jsp?pnu=4415025037106210000&amp;isNoScr=script&amp;mode=search", "토지이음")</f>
        <v/>
      </c>
      <c r="O2240" s="3" t="inlineStr">
        <is>
          <t>세종</t>
        </is>
      </c>
      <c r="P2240" s="4" t="n">
        <v>1</v>
      </c>
      <c r="Q2240" s="4" t="n">
        <v>370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맹지</t>
        </is>
      </c>
    </row>
    <row r="2241">
      <c r="A2241" s="3" t="inlineStr">
        <is>
          <t>유구읍 동해리 660-3</t>
        </is>
      </c>
      <c r="B2241" s="3" t="inlineStr">
        <is>
          <t>계획관리지역</t>
        </is>
      </c>
      <c r="C2241" s="3" t="inlineStr">
        <is>
          <t>답</t>
        </is>
      </c>
      <c r="D2241" s="3" t="inlineStr">
        <is>
          <t>답</t>
        </is>
      </c>
      <c r="E2241" s="3" t="inlineStr">
        <is>
          <t>매매</t>
        </is>
      </c>
      <c r="F2241" s="4" t="n">
        <v>6000</v>
      </c>
      <c r="G2241" s="4" t="n">
        <v>969</v>
      </c>
      <c r="H2241" s="4" t="n">
        <v>293</v>
      </c>
      <c r="I2241" s="5" t="n">
        <v>20.5</v>
      </c>
      <c r="J2241" s="5" t="n">
        <v>7.1</v>
      </c>
      <c r="K2241" s="3" t="inlineStr">
        <is>
          <t>계획관리지역, 도로 및 실개천 접함, 청정지역, 캠핑장, 주말농장</t>
        </is>
      </c>
      <c r="L2241" s="6">
        <f>HYPERLINK("https://fin.land.naver.com/articles/2652972712", "매물Link")</f>
        <v/>
      </c>
      <c r="M2241" s="6">
        <f>HYPERLINK("https://map.naver.com/p/search/유구읍 동해리 660-3", "지도Link")</f>
        <v/>
      </c>
      <c r="N2241" s="6">
        <f>HYPERLINK("http://www.eum.go.kr/web/ar/lu/luLandDet.jsp?pnu=4415025037106600003&amp;isNoScr=script&amp;mode=search", "토지이음")</f>
        <v/>
      </c>
      <c r="O2241" s="3" t="inlineStr">
        <is>
          <t>세종</t>
        </is>
      </c>
      <c r="P2241" s="4" t="n">
        <v>1</v>
      </c>
      <c r="Q2241" s="4" t="n">
        <v>969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세로한면(불)</t>
        </is>
      </c>
    </row>
    <row r="2242">
      <c r="A2242" s="3" t="inlineStr">
        <is>
          <t>유구읍 동해리 78-1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14000</v>
      </c>
      <c r="G2242" s="4" t="n">
        <v>2251</v>
      </c>
      <c r="H2242" s="4" t="n">
        <v>681</v>
      </c>
      <c r="I2242" s="5" t="n">
        <v>20.6</v>
      </c>
      <c r="J2242" s="5" t="n">
        <v>13.2</v>
      </c>
      <c r="K2242" s="3" t="inlineStr">
        <is>
          <t>세종시, 천안시 가까운 마곡사근처 체류형쉼터, 전원주택 부지</t>
        </is>
      </c>
      <c r="L2242" s="6">
        <f>HYPERLINK("https://fin.land.naver.com/articles/2654282540", "매물Link")</f>
        <v/>
      </c>
      <c r="M2242" s="6">
        <f>HYPERLINK("https://map.naver.com/p/search/유구읍 동해리 78-1", "지도Link")</f>
        <v/>
      </c>
      <c r="N2242" s="6">
        <f>HYPERLINK("http://www.eum.go.kr/web/ar/lu/luLandDet.jsp?pnu=4415025037100780001&amp;isNoScr=script&amp;mode=search", "토지이음")</f>
        <v/>
      </c>
      <c r="O2242" s="3" t="inlineStr">
        <is>
          <t>그린</t>
        </is>
      </c>
      <c r="P2242" s="4" t="n">
        <v>1</v>
      </c>
      <c r="Q2242" s="4" t="n">
        <v>717</v>
      </c>
      <c r="R2242" s="3" t="inlineStr">
        <is>
          <t>지정되지않음</t>
        </is>
      </c>
      <c r="S2242" s="3" t="inlineStr">
        <is>
          <t>단독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세로한면(불)</t>
        </is>
      </c>
    </row>
    <row r="2243">
      <c r="A2243" s="3" t="inlineStr">
        <is>
          <t>유구읍 동해리 산58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8000</v>
      </c>
      <c r="G2243" s="4" t="n">
        <v>6645</v>
      </c>
      <c r="H2243" s="4" t="n">
        <v>2010</v>
      </c>
      <c r="I2243" s="5" t="n">
        <v>4</v>
      </c>
      <c r="J2243" s="5" t="n">
        <v>1.2</v>
      </c>
      <c r="K2243" s="3" t="inlineStr">
        <is>
          <t>천안아산 인접한 청정지역 임야로 매매가 저렴</t>
        </is>
      </c>
      <c r="L2243" s="6">
        <f>HYPERLINK("https://fin.land.naver.com/articles/2651728713", "매물Link")</f>
        <v/>
      </c>
      <c r="M2243" s="6">
        <f>HYPERLINK("https://map.naver.com/p/search/유구읍 동해리 산58", "지도Link")</f>
        <v/>
      </c>
      <c r="N2243" s="6">
        <f>HYPERLINK("http://www.eum.go.kr/web/ar/lu/luLandDet.jsp?pnu=4415025037200580000&amp;isNoScr=script&amp;mode=search", "토지이음")</f>
        <v/>
      </c>
      <c r="O2243" s="3" t="inlineStr">
        <is>
          <t>이승주</t>
        </is>
      </c>
      <c r="P2243" s="4" t="n">
        <v>1</v>
      </c>
      <c r="Q2243" s="4" t="n">
        <v>6645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맹지</t>
        </is>
      </c>
    </row>
    <row r="2244">
      <c r="A2244" s="3" t="inlineStr">
        <is>
          <t>유구읍 동해리 산63-1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200000</v>
      </c>
      <c r="G2244" s="4" t="n">
        <v>64776</v>
      </c>
      <c r="H2244" s="4" t="n">
        <v>19595</v>
      </c>
      <c r="I2244" s="5" t="n">
        <v>10.2</v>
      </c>
      <c r="J2244" s="5" t="n">
        <v>1.4</v>
      </c>
      <c r="K2244" s="3" t="inlineStr">
        <is>
          <t>공주 유구 완만한 임야와 전,계획관리지역 실버타운,글램핑장 최적지</t>
        </is>
      </c>
      <c r="L2244" s="6">
        <f>HYPERLINK("https://fin.land.naver.com/articles/2655531211", "매물Link")</f>
        <v/>
      </c>
      <c r="M2244" s="6">
        <f>HYPERLINK("https://map.naver.com/p/search/유구읍 동해리 산63-1", "지도Link")</f>
        <v/>
      </c>
      <c r="N2244" s="6">
        <f>HYPERLINK("http://www.eum.go.kr/web/ar/lu/luLandDet.jsp?pnu=4415025037200630001&amp;isNoScr=script&amp;mode=search", "토지이음")</f>
        <v/>
      </c>
      <c r="O2244" s="3" t="inlineStr">
        <is>
          <t>효성넘버원</t>
        </is>
      </c>
      <c r="P2244" s="4" t="n">
        <v>1</v>
      </c>
      <c r="Q2244" s="4" t="n">
        <v>55421</v>
      </c>
      <c r="R2244" s="3" t="inlineStr">
        <is>
          <t>농림지역</t>
        </is>
      </c>
      <c r="S2244" s="3" t="inlineStr">
        <is>
          <t>자연림</t>
        </is>
      </c>
      <c r="T2244" s="3" t="inlineStr">
        <is>
          <t>급경사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유구읍 만천리 370</t>
        </is>
      </c>
      <c r="B2245" s="3" t="inlineStr">
        <is>
          <t>농림지역</t>
        </is>
      </c>
      <c r="C2245" s="3" t="inlineStr">
        <is>
          <t>전</t>
        </is>
      </c>
      <c r="D2245" s="3" t="inlineStr">
        <is>
          <t>전</t>
        </is>
      </c>
      <c r="E2245" s="3" t="inlineStr">
        <is>
          <t>매매</t>
        </is>
      </c>
      <c r="F2245" s="4" t="n">
        <v>26400</v>
      </c>
      <c r="G2245" s="4" t="n">
        <v>4367</v>
      </c>
      <c r="H2245" s="4" t="n">
        <v>1321</v>
      </c>
      <c r="I2245" s="5" t="n">
        <v>20</v>
      </c>
      <c r="J2245" s="5" t="n">
        <v>10</v>
      </c>
      <c r="K2245" s="3" t="inlineStr">
        <is>
          <t>마을근처 정식허가된 염소축사와 토지, 작은농장 하실분 찾음</t>
        </is>
      </c>
      <c r="L2245" s="6">
        <f>HYPERLINK("https://fin.land.naver.com/articles/2655678455", "매물Link")</f>
        <v/>
      </c>
      <c r="M2245" s="6">
        <f>HYPERLINK("https://map.naver.com/p/search/유구읍 만천리 370", "지도Link")</f>
        <v/>
      </c>
      <c r="N2245" s="6">
        <f>HYPERLINK("http://www.eum.go.kr/web/ar/lu/luLandDet.jsp?pnu=4415025038103700000&amp;isNoScr=script&amp;mode=search", "토지이음")</f>
        <v/>
      </c>
      <c r="O2245" s="3" t="inlineStr">
        <is>
          <t>그린</t>
        </is>
      </c>
      <c r="P2245" s="4" t="n">
        <v>1</v>
      </c>
      <c r="Q2245" s="4" t="n">
        <v>4367</v>
      </c>
      <c r="R2245" s="3" t="inlineStr">
        <is>
          <t>지정되지않음</t>
        </is>
      </c>
      <c r="S2245" s="3" t="inlineStr">
        <is>
          <t>전축사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유구읍 만천리 370</t>
        </is>
      </c>
      <c r="B2246" s="3" t="inlineStr">
        <is>
          <t>농림지역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30000</v>
      </c>
      <c r="G2246" s="4" t="n">
        <v>4367</v>
      </c>
      <c r="H2246" s="4" t="n">
        <v>1321</v>
      </c>
      <c r="I2246" s="5" t="n">
        <v>22.7</v>
      </c>
      <c r="J2246" s="5" t="n">
        <v>10</v>
      </c>
      <c r="K2246" s="3" t="inlineStr">
        <is>
          <t>농장시설 완비 허가완료 양도양수가능 지목 전</t>
        </is>
      </c>
      <c r="L2246" s="6">
        <f>HYPERLINK("https://fin.land.naver.com/articles/2653925822", "매물Link")</f>
        <v/>
      </c>
      <c r="M2246" s="6">
        <f>HYPERLINK("https://map.naver.com/p/search/유구읍 만천리 370", "지도Link")</f>
        <v/>
      </c>
      <c r="N2246" s="6">
        <f>HYPERLINK("http://www.eum.go.kr/web/ar/lu/luLandDet.jsp?pnu=4415025038103700000&amp;isNoScr=script&amp;mode=search", "토지이음")</f>
        <v/>
      </c>
      <c r="O2246" s="3" t="inlineStr">
        <is>
          <t>마곡랜드</t>
        </is>
      </c>
      <c r="P2246" s="4" t="n">
        <v>1</v>
      </c>
      <c r="Q2246" s="4" t="n">
        <v>4367</v>
      </c>
      <c r="R2246" s="3" t="inlineStr">
        <is>
          <t>지정되지않음</t>
        </is>
      </c>
      <c r="S2246" s="3" t="inlineStr">
        <is>
          <t>전축사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세로한면(가)</t>
        </is>
      </c>
    </row>
    <row r="2247">
      <c r="A2247" s="3" t="inlineStr">
        <is>
          <t>유구읍 만천리 458-14</t>
        </is>
      </c>
      <c r="B2247" s="3" t="inlineStr">
        <is>
          <t>농림지역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3500</v>
      </c>
      <c r="G2247" s="4" t="n">
        <v>3305</v>
      </c>
      <c r="H2247" s="4" t="n">
        <v>1000</v>
      </c>
      <c r="I2247" s="5" t="n">
        <v>3.5</v>
      </c>
      <c r="J2247" s="5" t="n">
        <v>2.3</v>
      </c>
      <c r="K2247" s="3" t="inlineStr">
        <is>
          <t>앞쪽 계획관리 2차선 저렴한 임야</t>
        </is>
      </c>
      <c r="L2247" s="6">
        <f>HYPERLINK("https://fin.land.naver.com/articles/2655474627", "매물Link")</f>
        <v/>
      </c>
      <c r="M2247" s="6">
        <f>HYPERLINK("https://map.naver.com/p/search/유구읍 만천리 458-14", "지도Link")</f>
        <v/>
      </c>
      <c r="N2247" s="6">
        <f>HYPERLINK("http://www.eum.go.kr/web/ar/lu/luLandDet.jsp?pnu=4415025038104580014&amp;isNoScr=script&amp;mode=search", "토지이음")</f>
        <v/>
      </c>
      <c r="O2247" s="3" t="inlineStr">
        <is>
          <t>SK</t>
        </is>
      </c>
      <c r="P2247" s="4" t="n">
        <v>1</v>
      </c>
      <c r="Q2247" s="4" t="n">
        <v>3305</v>
      </c>
      <c r="R2247" s="3" t="inlineStr">
        <is>
          <t>계획관리지역</t>
        </is>
      </c>
      <c r="S2247" s="3" t="inlineStr">
        <is>
          <t>자연림</t>
        </is>
      </c>
      <c r="T2247" s="3" t="inlineStr">
        <is>
          <t>급경사</t>
        </is>
      </c>
      <c r="U2247" s="3" t="inlineStr">
        <is>
          <t>부정형</t>
        </is>
      </c>
      <c r="V2247" s="3" t="inlineStr">
        <is>
          <t>소로한면</t>
        </is>
      </c>
    </row>
    <row r="2248">
      <c r="A2248" s="3" t="inlineStr">
        <is>
          <t>유구읍 만천리 468-2</t>
        </is>
      </c>
      <c r="B2248" s="3" t="inlineStr">
        <is>
          <t>계획관리지역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17700</v>
      </c>
      <c r="G2248" s="4" t="n">
        <v>1829</v>
      </c>
      <c r="H2248" s="4" t="n">
        <v>553</v>
      </c>
      <c r="I2248" s="5" t="n">
        <v>32</v>
      </c>
      <c r="J2248" s="5" t="n">
        <v>13.6</v>
      </c>
      <c r="K2248" s="3" t="inlineStr">
        <is>
          <t>도로 접한 농지, 농가주택 과 농지를 함께 이용할 수 있는 토지 매매</t>
        </is>
      </c>
      <c r="L2248" s="6">
        <f>HYPERLINK("https://fin.land.naver.com/articles/2650933492", "매물Link")</f>
        <v/>
      </c>
      <c r="M2248" s="6">
        <f>HYPERLINK("https://map.naver.com/p/search/유구읍 만천리 468-2", "지도Link")</f>
        <v/>
      </c>
      <c r="N2248" s="6">
        <f>HYPERLINK("http://www.eum.go.kr/web/ar/lu/luLandDet.jsp?pnu=4415025038104680002&amp;isNoScr=script&amp;mode=search", "토지이음")</f>
        <v/>
      </c>
      <c r="O2248" s="3" t="inlineStr">
        <is>
          <t>뉴삼성 주식회사</t>
        </is>
      </c>
      <c r="P2248" s="4" t="n">
        <v>1</v>
      </c>
      <c r="Q2248" s="4" t="n">
        <v>1829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맹지</t>
        </is>
      </c>
    </row>
    <row r="2249">
      <c r="A2249" s="3" t="inlineStr">
        <is>
          <t>유구읍 만천리 609-1</t>
        </is>
      </c>
      <c r="B2249" s="3" t="inlineStr">
        <is>
          <t>계획관리지역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16000</v>
      </c>
      <c r="G2249" s="4" t="n">
        <v>790</v>
      </c>
      <c r="H2249" s="4" t="n">
        <v>239</v>
      </c>
      <c r="I2249" s="5" t="n">
        <v>66.90000000000001</v>
      </c>
      <c r="J2249" s="5" t="n">
        <v>25.3</v>
      </c>
      <c r="K2249" s="3" t="inlineStr">
        <is>
          <t>도로접 기존면적보다 국유지를 더 많이 사용가능</t>
        </is>
      </c>
      <c r="L2249" s="6">
        <f>HYPERLINK("https://fin.land.naver.com/articles/2654189806", "매물Link")</f>
        <v/>
      </c>
      <c r="M2249" s="6">
        <f>HYPERLINK("https://map.naver.com/p/search/유구읍 만천리 609-1", "지도Link")</f>
        <v/>
      </c>
      <c r="N2249" s="6">
        <f>HYPERLINK("http://www.eum.go.kr/web/ar/lu/luLandDet.jsp?pnu=4415025038106090001&amp;isNoScr=script&amp;mode=search", "토지이음")</f>
        <v/>
      </c>
      <c r="O2249" s="3" t="inlineStr">
        <is>
          <t>우리마을사무소</t>
        </is>
      </c>
      <c r="P2249" s="4" t="n">
        <v>1</v>
      </c>
      <c r="Q2249" s="4" t="n">
        <v>443</v>
      </c>
      <c r="R2249" s="3" t="inlineStr">
        <is>
          <t>지정되지않음</t>
        </is>
      </c>
      <c r="S2249" s="3" t="inlineStr">
        <is>
          <t>주거기타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유구읍 명곡리 243-1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15000</v>
      </c>
      <c r="G2250" s="4" t="n">
        <v>1236</v>
      </c>
      <c r="H2250" s="4" t="n">
        <v>374</v>
      </c>
      <c r="I2250" s="5" t="n">
        <v>40.1</v>
      </c>
      <c r="J2250" s="5" t="n">
        <v>6</v>
      </c>
      <c r="K2250" s="3" t="inlineStr">
        <is>
          <t>유구읍 명곡리 전원형 토지</t>
        </is>
      </c>
      <c r="L2250" s="6">
        <f>HYPERLINK("https://fin.land.naver.com/articles/2654095285", "매물Link")</f>
        <v/>
      </c>
      <c r="M2250" s="6">
        <f>HYPERLINK("https://map.naver.com/p/search/유구읍 명곡리 243-1", "지도Link")</f>
        <v/>
      </c>
      <c r="N2250" s="6">
        <f>HYPERLINK("http://www.eum.go.kr/web/ar/lu/luLandDet.jsp?pnu=4415025029102430001&amp;isNoScr=script&amp;mode=search", "토지이음")</f>
        <v/>
      </c>
      <c r="O2250" s="3" t="inlineStr">
        <is>
          <t>방축대운</t>
        </is>
      </c>
      <c r="P2250" s="4" t="n">
        <v>1</v>
      </c>
      <c r="Q2250" s="4" t="n">
        <v>691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맹지</t>
        </is>
      </c>
    </row>
    <row r="2251">
      <c r="A2251" s="3" t="inlineStr">
        <is>
          <t>유구읍 명곡리 246-5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15000</v>
      </c>
      <c r="G2251" s="4" t="n">
        <v>1239</v>
      </c>
      <c r="H2251" s="4" t="n">
        <v>375</v>
      </c>
      <c r="I2251" s="5" t="n">
        <v>40</v>
      </c>
      <c r="J2251" s="5" t="n">
        <v>6.3</v>
      </c>
      <c r="K2251" s="3" t="inlineStr">
        <is>
          <t>유구읍 명곡리 전원형 토지</t>
        </is>
      </c>
      <c r="L2251" s="6">
        <f>HYPERLINK("https://fin.land.naver.com/articles/2654092351", "매물Link")</f>
        <v/>
      </c>
      <c r="M2251" s="6">
        <f>HYPERLINK("https://map.naver.com/p/search/유구읍 명곡리 246-5", "지도Link")</f>
        <v/>
      </c>
      <c r="N2251" s="6">
        <f>HYPERLINK("http://www.eum.go.kr/web/ar/lu/luLandDet.jsp?pnu=4415025029102460005&amp;isNoScr=script&amp;mode=search", "토지이음")</f>
        <v/>
      </c>
      <c r="O2251" s="3" t="inlineStr">
        <is>
          <t>방축대운</t>
        </is>
      </c>
      <c r="P2251" s="4" t="n">
        <v>1</v>
      </c>
      <c r="Q2251" s="4" t="n">
        <v>157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세로한면(불)</t>
        </is>
      </c>
    </row>
    <row r="2252">
      <c r="A2252" s="3" t="inlineStr">
        <is>
          <t>유구읍 명곡리 246-7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15000</v>
      </c>
      <c r="G2252" s="4" t="n">
        <v>727</v>
      </c>
      <c r="H2252" s="4" t="n">
        <v>220</v>
      </c>
      <c r="I2252" s="5" t="n">
        <v>68.2</v>
      </c>
      <c r="J2252" s="5" t="n">
        <v>6.8</v>
      </c>
      <c r="K2252" s="3" t="inlineStr">
        <is>
          <t>nan</t>
        </is>
      </c>
      <c r="L2252" s="6">
        <f>HYPERLINK("https://fin.land.naver.com/articles/2654093703", "매물Link")</f>
        <v/>
      </c>
      <c r="M2252" s="6">
        <f>HYPERLINK("https://map.naver.com/p/search/유구읍 명곡리 246-7", "지도Link")</f>
        <v/>
      </c>
      <c r="N2252" s="6">
        <f>HYPERLINK("http://www.eum.go.kr/web/ar/lu/luLandDet.jsp?pnu=4415025029102460007&amp;isNoScr=script&amp;mode=search", "토지이음")</f>
        <v/>
      </c>
      <c r="O2252" s="3" t="inlineStr">
        <is>
          <t>방축대운</t>
        </is>
      </c>
      <c r="P2252" s="4" t="n">
        <v>1</v>
      </c>
      <c r="Q2252" s="4" t="n">
        <v>352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유구읍 명곡리 262-6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10000</v>
      </c>
      <c r="G2253" s="4" t="n">
        <v>279</v>
      </c>
      <c r="H2253" s="4" t="n">
        <v>84</v>
      </c>
      <c r="I2253" s="5" t="n">
        <v>119</v>
      </c>
      <c r="J2253" s="5" t="n">
        <v>4</v>
      </c>
      <c r="K2253" s="3" t="inlineStr">
        <is>
          <t>o신축 체류형쉼터o 건물포함가격. 작은 호수가 내 정원같은 세컨하우스</t>
        </is>
      </c>
      <c r="L2253" s="6">
        <f>HYPERLINK("https://fin.land.naver.com/articles/2652748148", "매물Link")</f>
        <v/>
      </c>
      <c r="M2253" s="6">
        <f>HYPERLINK("https://map.naver.com/p/search/유구읍 명곡리 262-6", "지도Link")</f>
        <v/>
      </c>
      <c r="N2253" s="6">
        <f>HYPERLINK("http://www.eum.go.kr/web/ar/lu/luLandDet.jsp?pnu=4415025029102620006&amp;isNoScr=script&amp;mode=search", "토지이음")</f>
        <v/>
      </c>
      <c r="O2253" s="3" t="inlineStr">
        <is>
          <t>원탑</t>
        </is>
      </c>
      <c r="P2253" s="4" t="n">
        <v>1</v>
      </c>
      <c r="Q2253" s="4" t="n">
        <v>279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급경사</t>
        </is>
      </c>
      <c r="U2253" s="3" t="inlineStr">
        <is>
          <t>부정형</t>
        </is>
      </c>
      <c r="V2253" s="3" t="inlineStr">
        <is>
          <t>세로한면(불)</t>
        </is>
      </c>
    </row>
    <row r="2254">
      <c r="A2254" s="3" t="inlineStr">
        <is>
          <t>유구읍 명곡리 545-1</t>
        </is>
      </c>
      <c r="B2254" s="3" t="inlineStr">
        <is>
          <t>계획관리지역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12500</v>
      </c>
      <c r="G2254" s="4" t="n">
        <v>1626</v>
      </c>
      <c r="H2254" s="4" t="n">
        <v>492</v>
      </c>
      <c r="I2254" s="5" t="n">
        <v>25.4</v>
      </c>
      <c r="J2254" s="5" t="n">
        <v>2.7</v>
      </c>
      <c r="K2254" s="3" t="inlineStr">
        <is>
          <t>유구읍 계곡이 흐르는 농막토지 실사진</t>
        </is>
      </c>
      <c r="L2254" s="6">
        <f>HYPERLINK("https://fin.land.naver.com/articles/2651192126", "매물Link")</f>
        <v/>
      </c>
      <c r="M2254" s="6">
        <f>HYPERLINK("https://map.naver.com/p/search/유구읍 명곡리 545-1", "지도Link")</f>
        <v/>
      </c>
      <c r="N2254" s="6">
        <f>HYPERLINK("http://www.eum.go.kr/web/ar/lu/luLandDet.jsp?pnu=4415025029105450001&amp;isNoScr=script&amp;mode=search", "토지이음")</f>
        <v/>
      </c>
      <c r="O2254" s="3" t="inlineStr">
        <is>
          <t>천안화이트</t>
        </is>
      </c>
      <c r="P2254" s="4" t="n">
        <v>1</v>
      </c>
      <c r="Q2254" s="4" t="n">
        <v>873</v>
      </c>
      <c r="R2254" s="3" t="inlineStr">
        <is>
          <t>지정되지않음</t>
        </is>
      </c>
      <c r="S2254" s="3" t="inlineStr">
        <is>
          <t>전</t>
        </is>
      </c>
      <c r="T2254" s="3" t="inlineStr">
        <is>
          <t>급경사</t>
        </is>
      </c>
      <c r="U2254" s="3" t="inlineStr">
        <is>
          <t>부정형</t>
        </is>
      </c>
      <c r="V2254" s="3" t="inlineStr">
        <is>
          <t>맹지</t>
        </is>
      </c>
    </row>
    <row r="2255">
      <c r="A2255" s="3" t="inlineStr">
        <is>
          <t>유구읍 명곡리 산60-10</t>
        </is>
      </c>
      <c r="B2255" s="3" t="inlineStr">
        <is>
          <t>농림지역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63868</v>
      </c>
      <c r="H2255" s="4" t="n">
        <v>19320</v>
      </c>
      <c r="I2255" s="5" t="n">
        <v>3.1</v>
      </c>
      <c r="J2255" s="5" t="n">
        <v>0.9</v>
      </c>
      <c r="K2255" s="3" t="inlineStr">
        <is>
          <t>도로 접하게 통로 해주는 조건.넓은 임야</t>
        </is>
      </c>
      <c r="L2255" s="6">
        <f>HYPERLINK("https://fin.land.naver.com/articles/2651884720", "매물Link")</f>
        <v/>
      </c>
      <c r="M2255" s="6">
        <f>HYPERLINK("https://map.naver.com/p/search/유구읍 명곡리 산60-10", "지도Link")</f>
        <v/>
      </c>
      <c r="N2255" s="6">
        <f>HYPERLINK("http://www.eum.go.kr/web/ar/lu/luLandDet.jsp?pnu=4415025029200600010&amp;isNoScr=script&amp;mode=search", "토지이음")</f>
        <v/>
      </c>
      <c r="O2255" s="3" t="inlineStr">
        <is>
          <t>중앙</t>
        </is>
      </c>
      <c r="P2255" s="4" t="n">
        <v>1</v>
      </c>
      <c r="Q2255" s="4" t="n">
        <v>63868</v>
      </c>
      <c r="R2255" s="3" t="inlineStr">
        <is>
          <t>보전관리지역</t>
        </is>
      </c>
      <c r="S2255" s="3" t="inlineStr">
        <is>
          <t>자연림</t>
        </is>
      </c>
      <c r="T2255" s="3" t="inlineStr">
        <is>
          <t>급경사</t>
        </is>
      </c>
      <c r="U2255" s="3" t="inlineStr">
        <is>
          <t>부정형</t>
        </is>
      </c>
      <c r="V2255" s="3" t="inlineStr">
        <is>
          <t>맹지</t>
        </is>
      </c>
    </row>
    <row r="2256">
      <c r="A2256" s="3" t="inlineStr">
        <is>
          <t>유구읍 문금리 170</t>
        </is>
      </c>
      <c r="B2256" s="3" t="inlineStr">
        <is>
          <t>계획관리지역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7900</v>
      </c>
      <c r="G2256" s="4" t="n">
        <v>575</v>
      </c>
      <c r="H2256" s="4" t="n">
        <v>174</v>
      </c>
      <c r="I2256" s="5" t="n">
        <v>45.4</v>
      </c>
      <c r="J2256" s="5" t="n">
        <v>9</v>
      </c>
      <c r="K2256" s="3" t="inlineStr">
        <is>
          <t>유규읍 문금리 토지매매,  전원주택지 적합,  토지 앞  개천이 흐</t>
        </is>
      </c>
      <c r="L2256" s="6">
        <f>HYPERLINK("https://fin.land.naver.com/articles/2654274788", "매물Link")</f>
        <v/>
      </c>
      <c r="M2256" s="6">
        <f>HYPERLINK("https://map.naver.com/p/search/유구읍 문금리 170", "지도Link")</f>
        <v/>
      </c>
      <c r="N2256" s="6">
        <f>HYPERLINK("http://www.eum.go.kr/web/ar/lu/luLandDet.jsp?pnu=4415025035101700000&amp;isNoScr=script&amp;mode=search", "토지이음")</f>
        <v/>
      </c>
      <c r="O2256" s="3" t="inlineStr">
        <is>
          <t>우방푸르지오</t>
        </is>
      </c>
      <c r="P2256" s="4" t="n">
        <v>1</v>
      </c>
      <c r="Q2256" s="4" t="n">
        <v>575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완경사</t>
        </is>
      </c>
      <c r="U2256" s="3" t="inlineStr">
        <is>
          <t>부정형</t>
        </is>
      </c>
      <c r="V2256" s="3" t="inlineStr">
        <is>
          <t>소로한면</t>
        </is>
      </c>
    </row>
    <row r="2257">
      <c r="A2257" s="3" t="inlineStr">
        <is>
          <t>유구읍 문금리 2-2</t>
        </is>
      </c>
      <c r="B2257" s="3" t="inlineStr">
        <is>
          <t>계획관리지역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9000</v>
      </c>
      <c r="G2257" s="4" t="n">
        <v>1173</v>
      </c>
      <c r="H2257" s="4" t="n">
        <v>355</v>
      </c>
      <c r="I2257" s="5" t="n">
        <v>25.4</v>
      </c>
      <c r="J2257" s="5" t="n">
        <v>3.2</v>
      </c>
      <c r="K2257" s="3" t="inlineStr">
        <is>
          <t>nan</t>
        </is>
      </c>
      <c r="L2257" s="6">
        <f>HYPERLINK("https://fin.land.naver.com/articles/2656699019", "매물Link")</f>
        <v/>
      </c>
      <c r="M2257" s="6">
        <f>HYPERLINK("https://map.naver.com/p/search/유구읍 문금리 2-2", "지도Link")</f>
        <v/>
      </c>
      <c r="N2257" s="6">
        <f>HYPERLINK("http://www.eum.go.kr/web/ar/lu/luLandDet.jsp?pnu=4415025035100020002&amp;isNoScr=script&amp;mode=search", "토지이음")</f>
        <v/>
      </c>
      <c r="O2257" s="3" t="inlineStr">
        <is>
          <t>e편한무소</t>
        </is>
      </c>
      <c r="P2257" s="4" t="n">
        <v>1</v>
      </c>
      <c r="Q2257" s="4" t="n">
        <v>1173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완경사</t>
        </is>
      </c>
      <c r="U2257" s="3" t="inlineStr">
        <is>
          <t>부정형</t>
        </is>
      </c>
      <c r="V2257" s="3" t="inlineStr">
        <is>
          <t>맹지</t>
        </is>
      </c>
    </row>
    <row r="2258">
      <c r="A2258" s="3" t="inlineStr">
        <is>
          <t>유구읍 문금리 254-1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9900</v>
      </c>
      <c r="G2258" s="4" t="n">
        <v>437</v>
      </c>
      <c r="H2258" s="4" t="n">
        <v>132</v>
      </c>
      <c r="I2258" s="5" t="n">
        <v>75</v>
      </c>
      <c r="J2258" s="5" t="n">
        <v>7.8</v>
      </c>
      <c r="K2258" s="3" t="inlineStr">
        <is>
          <t>천안 아산 30분 거리 계곡이 흐르는 청정지역. 토지 농막 전체매매</t>
        </is>
      </c>
      <c r="L2258" s="6">
        <f>HYPERLINK("https://fin.land.naver.com/articles/2653572871", "매물Link")</f>
        <v/>
      </c>
      <c r="M2258" s="6">
        <f>HYPERLINK("https://map.naver.com/p/search/유구읍 문금리 254-1", "지도Link")</f>
        <v/>
      </c>
      <c r="N2258" s="6">
        <f>HYPERLINK("http://www.eum.go.kr/web/ar/lu/luLandDet.jsp?pnu=4415025035102540001&amp;isNoScr=script&amp;mode=search", "토지이음")</f>
        <v/>
      </c>
      <c r="O2258" s="3" t="inlineStr">
        <is>
          <t>원탑</t>
        </is>
      </c>
      <c r="P2258" s="4" t="n">
        <v>1</v>
      </c>
      <c r="Q2258" s="4" t="n">
        <v>546</v>
      </c>
      <c r="R2258" s="3" t="inlineStr">
        <is>
          <t>지정되지않음</t>
        </is>
      </c>
      <c r="S2258" s="3" t="inlineStr">
        <is>
          <t>답기타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유구읍 문금리 437-35</t>
        </is>
      </c>
      <c r="B2259" s="3" t="inlineStr">
        <is>
          <t>계획관리지역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17000</v>
      </c>
      <c r="G2259" s="4" t="n">
        <v>1479</v>
      </c>
      <c r="H2259" s="4" t="n">
        <v>447</v>
      </c>
      <c r="I2259" s="5" t="n">
        <v>38</v>
      </c>
      <c r="J2259" s="5" t="n">
        <v>1.3</v>
      </c>
      <c r="K2259" s="3" t="inlineStr">
        <is>
          <t>전원주택부지</t>
        </is>
      </c>
      <c r="L2259" s="6">
        <f>HYPERLINK("https://fin.land.naver.com/articles/2654982549", "매물Link")</f>
        <v/>
      </c>
      <c r="M2259" s="6">
        <f>HYPERLINK("https://map.naver.com/p/search/유구읍 문금리 437-35", "지도Link")</f>
        <v/>
      </c>
      <c r="N2259" s="6">
        <f>HYPERLINK("http://www.eum.go.kr/web/ar/lu/luLandDet.jsp?pnu=4415025035104370035&amp;isNoScr=script&amp;mode=search", "토지이음")</f>
        <v/>
      </c>
      <c r="O2259" s="3" t="inlineStr">
        <is>
          <t>해원</t>
        </is>
      </c>
      <c r="P2259" s="4" t="n">
        <v>1</v>
      </c>
      <c r="Q2259" s="4" t="n">
        <v>1052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유구읍 문금리 471-7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8000</v>
      </c>
      <c r="G2260" s="4" t="n">
        <v>597</v>
      </c>
      <c r="H2260" s="4" t="n">
        <v>181</v>
      </c>
      <c r="I2260" s="5" t="n">
        <v>44.2</v>
      </c>
      <c r="J2260" s="5" t="n">
        <v>5.5</v>
      </c>
      <c r="K2260" s="3" t="inlineStr">
        <is>
          <t>혐오시설없는 청정지역 주말농장지.체류형쉼터지,전원주택지</t>
        </is>
      </c>
      <c r="L2260" s="6">
        <f>HYPERLINK("https://fin.land.naver.com/articles/2656439716", "매물Link")</f>
        <v/>
      </c>
      <c r="M2260" s="6">
        <f>HYPERLINK("https://map.naver.com/p/search/유구읍 문금리 471-7", "지도Link")</f>
        <v/>
      </c>
      <c r="N2260" s="6">
        <f>HYPERLINK("http://www.eum.go.kr/web/ar/lu/luLandDet.jsp?pnu=4415025035104710007&amp;isNoScr=script&amp;mode=search", "토지이음")</f>
        <v/>
      </c>
      <c r="O2260" s="3" t="inlineStr">
        <is>
          <t>다인</t>
        </is>
      </c>
      <c r="P2260" s="4" t="n">
        <v>1</v>
      </c>
      <c r="Q2260" s="4" t="n">
        <v>597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유구읍 문금리 566-5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10000</v>
      </c>
      <c r="G2261" s="4" t="n">
        <v>556</v>
      </c>
      <c r="H2261" s="4" t="n">
        <v>168</v>
      </c>
      <c r="I2261" s="5" t="n">
        <v>59.5</v>
      </c>
      <c r="J2261" s="5" t="n">
        <v>2.3</v>
      </c>
      <c r="K2261" s="3" t="inlineStr">
        <is>
          <t>매매입니다</t>
        </is>
      </c>
      <c r="L2261" s="6">
        <f>HYPERLINK("https://fin.land.naver.com/articles/2651810746", "매물Link")</f>
        <v/>
      </c>
      <c r="M2261" s="6">
        <f>HYPERLINK("https://map.naver.com/p/search/유구읍 문금리 566-5", "지도Link")</f>
        <v/>
      </c>
      <c r="N2261" s="6">
        <f>HYPERLINK("http://www.eum.go.kr/web/ar/lu/luLandDet.jsp?pnu=4415025035105660005&amp;isNoScr=script&amp;mode=search", "토지이음")</f>
        <v/>
      </c>
      <c r="O2261" s="3" t="inlineStr">
        <is>
          <t>마니</t>
        </is>
      </c>
      <c r="P2261" s="4" t="n">
        <v>1</v>
      </c>
      <c r="Q2261" s="4" t="n">
        <v>556</v>
      </c>
      <c r="R2261" s="3" t="inlineStr">
        <is>
          <t>지정되지않음</t>
        </is>
      </c>
      <c r="S2261" s="3" t="inlineStr">
        <is>
          <t>토지임야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유구읍 문금리 819</t>
        </is>
      </c>
      <c r="B2262" s="3" t="inlineStr">
        <is>
          <t>보전관리지역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30000</v>
      </c>
      <c r="G2262" s="4" t="n">
        <v>4074</v>
      </c>
      <c r="H2262" s="4" t="n">
        <v>1232</v>
      </c>
      <c r="I2262" s="5" t="n">
        <v>24.4</v>
      </c>
      <c r="J2262" s="5" t="n">
        <v>9.699999999999999</v>
      </c>
      <c r="K2262" s="3" t="inlineStr">
        <is>
          <t>유구 보전관리 토지 매매</t>
        </is>
      </c>
      <c r="L2262" s="6">
        <f>HYPERLINK("https://fin.land.naver.com/articles/2653298504", "매물Link")</f>
        <v/>
      </c>
      <c r="M2262" s="6">
        <f>HYPERLINK("https://map.naver.com/p/search/유구읍 문금리 819", "지도Link")</f>
        <v/>
      </c>
      <c r="N2262" s="6">
        <f>HYPERLINK("http://www.eum.go.kr/web/ar/lu/luLandDet.jsp?pnu=4415025035108190000&amp;isNoScr=script&amp;mode=search", "토지이음")</f>
        <v/>
      </c>
      <c r="O2262" s="3" t="inlineStr">
        <is>
          <t>주식회사넥서스</t>
        </is>
      </c>
      <c r="P2262" s="4" t="n">
        <v>1</v>
      </c>
      <c r="Q2262" s="4" t="n">
        <v>4074</v>
      </c>
      <c r="R2262" s="3" t="inlineStr">
        <is>
          <t>지정되지않음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세로한면(불)</t>
        </is>
      </c>
    </row>
    <row r="2263">
      <c r="A2263" s="3" t="inlineStr">
        <is>
          <t>유구읍 문금리 819</t>
        </is>
      </c>
      <c r="B2263" s="3" t="inlineStr">
        <is>
          <t>보전관리지역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30000</v>
      </c>
      <c r="G2263" s="4" t="n">
        <v>4074</v>
      </c>
      <c r="H2263" s="4" t="n">
        <v>1232</v>
      </c>
      <c r="I2263" s="5" t="n">
        <v>24.4</v>
      </c>
      <c r="J2263" s="5" t="n">
        <v>9.699999999999999</v>
      </c>
      <c r="K2263" s="3" t="inlineStr">
        <is>
          <t>유구 보전관리 토지 매매</t>
        </is>
      </c>
      <c r="L2263" s="6">
        <f>HYPERLINK("https://fin.land.naver.com/articles/2652971545", "매물Link")</f>
        <v/>
      </c>
      <c r="M2263" s="6">
        <f>HYPERLINK("https://map.naver.com/p/search/유구읍 문금리 819", "지도Link")</f>
        <v/>
      </c>
      <c r="N2263" s="6">
        <f>HYPERLINK("http://www.eum.go.kr/web/ar/lu/luLandDet.jsp?pnu=4415025035108190000&amp;isNoScr=script&amp;mode=search", "토지이음")</f>
        <v/>
      </c>
      <c r="O2263" s="3" t="inlineStr">
        <is>
          <t>주식회사넥서스</t>
        </is>
      </c>
      <c r="P2263" s="4" t="n">
        <v>1</v>
      </c>
      <c r="Q2263" s="4" t="n">
        <v>4074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유구읍 문금리 829-4</t>
        </is>
      </c>
      <c r="B2264" s="3" t="inlineStr">
        <is>
          <t>보전관리지역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13500</v>
      </c>
      <c r="G2264" s="4" t="n">
        <v>454</v>
      </c>
      <c r="H2264" s="4" t="n">
        <v>137</v>
      </c>
      <c r="I2264" s="5" t="n">
        <v>98.5</v>
      </c>
      <c r="J2264" s="5" t="n">
        <v>14</v>
      </c>
      <c r="K2264" s="3" t="inlineStr">
        <is>
          <t>도로에 접하고 있으며 얕어막한 언덕에 위치한 용도 다양한 토지 입니다.</t>
        </is>
      </c>
      <c r="L2264" s="6">
        <f>HYPERLINK("https://fin.land.naver.com/articles/2655079072", "매물Link")</f>
        <v/>
      </c>
      <c r="M2264" s="6">
        <f>HYPERLINK("https://map.naver.com/p/search/유구읍 문금리 829-4", "지도Link")</f>
        <v/>
      </c>
      <c r="N2264" s="6">
        <f>HYPERLINK("http://www.eum.go.kr/web/ar/lu/luLandDet.jsp?pnu=4415025035108290004&amp;isNoScr=script&amp;mode=search", "토지이음")</f>
        <v/>
      </c>
      <c r="O2264" s="3" t="inlineStr">
        <is>
          <t>모아삼부황금</t>
        </is>
      </c>
      <c r="P2264" s="4" t="n">
        <v>1</v>
      </c>
      <c r="Q2264" s="4" t="n">
        <v>1501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평지</t>
        </is>
      </c>
      <c r="U2264" s="3" t="inlineStr">
        <is>
          <t>부정형</t>
        </is>
      </c>
      <c r="V2264" s="3" t="inlineStr">
        <is>
          <t>소로한면</t>
        </is>
      </c>
    </row>
    <row r="2265">
      <c r="A2265" s="3" t="inlineStr">
        <is>
          <t>유구읍 문금리 산267-1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65700</v>
      </c>
      <c r="G2265" s="4" t="n">
        <v>43438</v>
      </c>
      <c r="H2265" s="4" t="n">
        <v>13140</v>
      </c>
      <c r="I2265" s="5" t="n">
        <v>5</v>
      </c>
      <c r="J2265" s="5" t="n">
        <v>0.8</v>
      </c>
      <c r="K2265" s="3" t="inlineStr">
        <is>
          <t>공주 유구읍 대규모 임야평당 5만원</t>
        </is>
      </c>
      <c r="L2265" s="6">
        <f>HYPERLINK("https://fin.land.naver.com/articles/2655097078", "매물Link")</f>
        <v/>
      </c>
      <c r="M2265" s="6">
        <f>HYPERLINK("https://map.naver.com/p/search/유구읍 문금리 산267-1", "지도Link")</f>
        <v/>
      </c>
      <c r="N2265" s="6">
        <f>HYPERLINK("http://www.eum.go.kr/web/ar/lu/luLandDet.jsp?pnu=4415025035202670001&amp;isNoScr=script&amp;mode=search", "토지이음")</f>
        <v/>
      </c>
      <c r="O2265" s="3" t="inlineStr">
        <is>
          <t>삼삼</t>
        </is>
      </c>
      <c r="P2265" s="4" t="n">
        <v>1</v>
      </c>
      <c r="Q2265" s="4" t="n">
        <v>28264</v>
      </c>
      <c r="R2265" s="3" t="inlineStr">
        <is>
          <t>농림지역</t>
        </is>
      </c>
      <c r="S2265" s="3" t="inlineStr">
        <is>
          <t>자연림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맹지</t>
        </is>
      </c>
    </row>
    <row r="2266">
      <c r="A2266" s="3" t="inlineStr">
        <is>
          <t>유구읍 백교리 108-3</t>
        </is>
      </c>
      <c r="B2266" s="3" t="inlineStr">
        <is>
          <t>준공업지역</t>
        </is>
      </c>
      <c r="C2266" s="3" t="inlineStr">
        <is>
          <t>공장용지</t>
        </is>
      </c>
      <c r="D2266" s="3" t="inlineStr">
        <is>
          <t>공장용지</t>
        </is>
      </c>
      <c r="E2266" s="3" t="inlineStr">
        <is>
          <t>매매</t>
        </is>
      </c>
      <c r="F2266" s="4" t="n">
        <v>65000</v>
      </c>
      <c r="G2266" s="4" t="n">
        <v>3579</v>
      </c>
      <c r="H2266" s="4" t="n">
        <v>1083</v>
      </c>
      <c r="I2266" s="5" t="n">
        <v>60</v>
      </c>
      <c r="J2266" s="5" t="n">
        <v>25</v>
      </c>
      <c r="K2266" s="3" t="inlineStr">
        <is>
          <t>유구자카드 일반산업단지 일반공업지역 접한 준공업지역 공장용지</t>
        </is>
      </c>
      <c r="L2266" s="6">
        <f>HYPERLINK("https://fin.land.naver.com/articles/2656389890", "매물Link")</f>
        <v/>
      </c>
      <c r="M2266" s="6">
        <f>HYPERLINK("https://map.naver.com/p/search/유구읍 백교리 108-3", "지도Link")</f>
        <v/>
      </c>
      <c r="N2266" s="6">
        <f>HYPERLINK("http://www.eum.go.kr/web/ar/lu/luLandDet.jsp?pnu=4415025021101080003&amp;isNoScr=script&amp;mode=search", "토지이음")</f>
        <v/>
      </c>
      <c r="O2266" s="3" t="inlineStr">
        <is>
          <t>그린</t>
        </is>
      </c>
      <c r="P2266" s="4" t="n">
        <v>1</v>
      </c>
      <c r="Q2266" s="4" t="n">
        <v>3174</v>
      </c>
      <c r="R2266" s="3" t="inlineStr">
        <is>
          <t>지정되지않음</t>
        </is>
      </c>
      <c r="S2266" s="3" t="inlineStr">
        <is>
          <t>공업나지</t>
        </is>
      </c>
      <c r="T2266" s="3" t="inlineStr">
        <is>
          <t>평지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유구읍 백교리 310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10000</v>
      </c>
      <c r="G2267" s="4" t="n">
        <v>775</v>
      </c>
      <c r="H2267" s="4" t="n">
        <v>234</v>
      </c>
      <c r="I2267" s="5" t="n">
        <v>42.7</v>
      </c>
      <c r="J2267" s="5" t="n">
        <v>16.7</v>
      </c>
      <c r="K2267" s="3" t="inlineStr">
        <is>
          <t>nan</t>
        </is>
      </c>
      <c r="L2267" s="6">
        <f>HYPERLINK("https://fin.land.naver.com/articles/2651401367", "매물Link")</f>
        <v/>
      </c>
      <c r="M2267" s="6">
        <f>HYPERLINK("https://map.naver.com/p/search/유구읍 백교리 310", "지도Link")</f>
        <v/>
      </c>
      <c r="N2267" s="6">
        <f>HYPERLINK("http://www.eum.go.kr/web/ar/lu/luLandDet.jsp?pnu=4415025021103100000&amp;isNoScr=script&amp;mode=search", "토지이음")</f>
        <v/>
      </c>
      <c r="O2267" s="3" t="inlineStr">
        <is>
          <t>세종지평</t>
        </is>
      </c>
      <c r="P2267" s="4" t="n">
        <v>1</v>
      </c>
      <c r="Q2267" s="4" t="n">
        <v>775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유구읍 백교리 310-1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10000</v>
      </c>
      <c r="G2268" s="4" t="n">
        <v>639</v>
      </c>
      <c r="H2268" s="4" t="n">
        <v>193</v>
      </c>
      <c r="I2268" s="5" t="n">
        <v>51.8</v>
      </c>
      <c r="J2268" s="5" t="n">
        <v>16.7</v>
      </c>
      <c r="K2268" s="3" t="inlineStr">
        <is>
          <t>nan</t>
        </is>
      </c>
      <c r="L2268" s="6">
        <f>HYPERLINK("https://fin.land.naver.com/articles/2651401321", "매물Link")</f>
        <v/>
      </c>
      <c r="M2268" s="6">
        <f>HYPERLINK("https://map.naver.com/p/search/유구읍 백교리 310-1", "지도Link")</f>
        <v/>
      </c>
      <c r="N2268" s="6">
        <f>HYPERLINK("http://www.eum.go.kr/web/ar/lu/luLandDet.jsp?pnu=4415025021103100001&amp;isNoScr=script&amp;mode=search", "토지이음")</f>
        <v/>
      </c>
      <c r="O2268" s="3" t="inlineStr">
        <is>
          <t>세종지평</t>
        </is>
      </c>
      <c r="P2268" s="4" t="n">
        <v>1</v>
      </c>
      <c r="Q2268" s="4" t="n">
        <v>639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유구읍 백교리 310-2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9000</v>
      </c>
      <c r="G2269" s="4" t="n">
        <v>635</v>
      </c>
      <c r="H2269" s="4" t="n">
        <v>192</v>
      </c>
      <c r="I2269" s="5" t="n">
        <v>46.9</v>
      </c>
      <c r="J2269" s="5" t="n">
        <v>16.7</v>
      </c>
      <c r="K2269" s="3" t="inlineStr">
        <is>
          <t>nan</t>
        </is>
      </c>
      <c r="L2269" s="6">
        <f>HYPERLINK("https://fin.land.naver.com/articles/2655019578", "매물Link")</f>
        <v/>
      </c>
      <c r="M2269" s="6">
        <f>HYPERLINK("https://map.naver.com/p/search/유구읍 백교리 310-2", "지도Link")</f>
        <v/>
      </c>
      <c r="N2269" s="6">
        <f>HYPERLINK("http://www.eum.go.kr/web/ar/lu/luLandDet.jsp?pnu=4415025021103100002&amp;isNoScr=script&amp;mode=search", "토지이음")</f>
        <v/>
      </c>
      <c r="O2269" s="3" t="inlineStr">
        <is>
          <t>세종지평</t>
        </is>
      </c>
      <c r="P2269" s="4" t="n">
        <v>1</v>
      </c>
      <c r="Q2269" s="4" t="n">
        <v>635</v>
      </c>
      <c r="R2269" s="3" t="inlineStr">
        <is>
          <t>지정되지않음</t>
        </is>
      </c>
      <c r="S2269" s="3" t="inlineStr">
        <is>
          <t>전</t>
        </is>
      </c>
      <c r="T2269" s="3" t="inlineStr">
        <is>
          <t>평지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유구읍 백교리 310-3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8000</v>
      </c>
      <c r="G2270" s="4" t="n">
        <v>581</v>
      </c>
      <c r="H2270" s="4" t="n">
        <v>176</v>
      </c>
      <c r="I2270" s="5" t="n">
        <v>45.5</v>
      </c>
      <c r="J2270" s="5" t="n">
        <v>16.7</v>
      </c>
      <c r="K2270" s="3" t="inlineStr">
        <is>
          <t>nan</t>
        </is>
      </c>
      <c r="L2270" s="6">
        <f>HYPERLINK("https://fin.land.naver.com/articles/2656146836", "매물Link")</f>
        <v/>
      </c>
      <c r="M2270" s="6">
        <f>HYPERLINK("https://map.naver.com/p/search/유구읍 백교리 310-3", "지도Link")</f>
        <v/>
      </c>
      <c r="N2270" s="6">
        <f>HYPERLINK("http://www.eum.go.kr/web/ar/lu/luLandDet.jsp?pnu=4415025021103100003&amp;isNoScr=script&amp;mode=search", "토지이음")</f>
        <v/>
      </c>
      <c r="O2270" s="3" t="inlineStr">
        <is>
          <t>세종지평</t>
        </is>
      </c>
      <c r="P2270" s="4" t="n">
        <v>1</v>
      </c>
      <c r="Q2270" s="4" t="n">
        <v>582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평지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유구읍 백교리 408</t>
        </is>
      </c>
      <c r="B2271" s="3" t="inlineStr">
        <is>
          <t>계획관리지역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12000</v>
      </c>
      <c r="G2271" s="4" t="n">
        <v>1501</v>
      </c>
      <c r="H2271" s="4" t="n">
        <v>454</v>
      </c>
      <c r="I2271" s="5" t="n">
        <v>26.4</v>
      </c>
      <c r="J2271" s="5" t="n">
        <v>15.4</v>
      </c>
      <c r="K2271" s="3" t="inlineStr">
        <is>
          <t>유구수국정원인근 양지바른 전원주택지</t>
        </is>
      </c>
      <c r="L2271" s="6">
        <f>HYPERLINK("https://fin.land.naver.com/articles/2652011958", "매물Link")</f>
        <v/>
      </c>
      <c r="M2271" s="6">
        <f>HYPERLINK("https://map.naver.com/p/search/유구읍 백교리 408", "지도Link")</f>
        <v/>
      </c>
      <c r="N2271" s="6">
        <f>HYPERLINK("http://www.eum.go.kr/web/ar/lu/luLandDet.jsp?pnu=4415025021104080000&amp;isNoScr=script&amp;mode=search", "토지이음")</f>
        <v/>
      </c>
      <c r="O2271" s="3" t="inlineStr">
        <is>
          <t>그린</t>
        </is>
      </c>
      <c r="P2271" s="4" t="n">
        <v>1</v>
      </c>
      <c r="Q2271" s="4" t="n">
        <v>1501</v>
      </c>
      <c r="R2271" s="3" t="inlineStr">
        <is>
          <t>지정되지않음</t>
        </is>
      </c>
      <c r="S2271" s="3" t="inlineStr">
        <is>
          <t>전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유구읍 백교리 492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5900</v>
      </c>
      <c r="G2272" s="4" t="n">
        <v>2935</v>
      </c>
      <c r="H2272" s="4" t="n">
        <v>888</v>
      </c>
      <c r="I2272" s="5" t="n">
        <v>6.6</v>
      </c>
      <c r="J2272" s="5" t="n">
        <v>9.6</v>
      </c>
      <c r="K2272" s="3" t="inlineStr">
        <is>
          <t>도로사정 아주좋고 계획관리 지역으로 다향한 건축행위 가능한지역 아주저렴함</t>
        </is>
      </c>
      <c r="L2272" s="6">
        <f>HYPERLINK("https://fin.land.naver.com/articles/2654967513", "매물Link")</f>
        <v/>
      </c>
      <c r="M2272" s="6">
        <f>HYPERLINK("https://map.naver.com/p/search/유구읍 백교리 492", "지도Link")</f>
        <v/>
      </c>
      <c r="N2272" s="6">
        <f>HYPERLINK("http://www.eum.go.kr/web/ar/lu/luLandDet.jsp?pnu=4415025021104920000&amp;isNoScr=script&amp;mode=search", "토지이음")</f>
        <v/>
      </c>
      <c r="O2272" s="3" t="inlineStr">
        <is>
          <t>갤러리</t>
        </is>
      </c>
      <c r="P2272" s="4" t="n">
        <v>1</v>
      </c>
      <c r="Q2272" s="4" t="n">
        <v>2737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맹지</t>
        </is>
      </c>
    </row>
    <row r="2273">
      <c r="A2273" s="3" t="inlineStr">
        <is>
          <t>유구읍 백교리 92-4</t>
        </is>
      </c>
      <c r="B2273" s="3" t="inlineStr">
        <is>
          <t>자연녹지지역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9900</v>
      </c>
      <c r="G2273" s="4" t="n">
        <v>893</v>
      </c>
      <c r="H2273" s="4" t="n">
        <v>270</v>
      </c>
      <c r="I2273" s="5" t="n">
        <v>36.7</v>
      </c>
      <c r="J2273" s="5" t="n">
        <v>21.5</v>
      </c>
      <c r="K2273" s="3" t="inlineStr">
        <is>
          <t>백교천변접,만년교차로인접 도시지역,본건에접한 도로개설예정</t>
        </is>
      </c>
      <c r="L2273" s="6">
        <f>HYPERLINK("https://fin.land.naver.com/articles/2652968360", "매물Link")</f>
        <v/>
      </c>
      <c r="M2273" s="6">
        <f>HYPERLINK("https://map.naver.com/p/search/유구읍 백교리 92-4", "지도Link")</f>
        <v/>
      </c>
      <c r="N2273" s="6">
        <f>HYPERLINK("http://www.eum.go.kr/web/ar/lu/luLandDet.jsp?pnu=4415025021100920004&amp;isNoScr=script&amp;mode=search", "토지이음")</f>
        <v/>
      </c>
      <c r="O2273" s="3" t="inlineStr">
        <is>
          <t>효성넘버원</t>
        </is>
      </c>
      <c r="P2273" s="4" t="n">
        <v>1</v>
      </c>
      <c r="Q2273" s="4" t="n">
        <v>563</v>
      </c>
      <c r="R2273" s="3" t="inlineStr">
        <is>
          <t>지정되지않음</t>
        </is>
      </c>
      <c r="S2273" s="3" t="inlineStr">
        <is>
          <t>전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유구읍 백교리 93-11</t>
        </is>
      </c>
      <c r="B2274" s="3" t="inlineStr">
        <is>
          <t>자연녹지지역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14000</v>
      </c>
      <c r="G2274" s="4" t="n">
        <v>662</v>
      </c>
      <c r="H2274" s="4" t="n">
        <v>200</v>
      </c>
      <c r="I2274" s="5" t="n">
        <v>70</v>
      </c>
      <c r="J2274" s="5" t="n">
        <v>16.6</v>
      </c>
      <c r="K2274" s="3" t="inlineStr">
        <is>
          <t>백교천변접,만년교차로인접 도시지역,자연녹지지역 투자용 강추</t>
        </is>
      </c>
      <c r="L2274" s="6">
        <f>HYPERLINK("https://fin.land.naver.com/articles/2655288258", "매물Link")</f>
        <v/>
      </c>
      <c r="M2274" s="6">
        <f>HYPERLINK("https://map.naver.com/p/search/유구읍 백교리 93-11", "지도Link")</f>
        <v/>
      </c>
      <c r="N2274" s="6">
        <f>HYPERLINK("http://www.eum.go.kr/web/ar/lu/luLandDet.jsp?pnu=4415025021100930011&amp;isNoScr=script&amp;mode=search", "토지이음")</f>
        <v/>
      </c>
      <c r="O2274" s="3" t="inlineStr">
        <is>
          <t>효성넘버원</t>
        </is>
      </c>
      <c r="P2274" s="4" t="n">
        <v>1</v>
      </c>
      <c r="Q2274" s="4" t="n">
        <v>662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자루형</t>
        </is>
      </c>
      <c r="V2274" s="3" t="inlineStr">
        <is>
          <t>세로한면(가)</t>
        </is>
      </c>
    </row>
    <row r="2275">
      <c r="A2275" s="3" t="inlineStr">
        <is>
          <t>유구읍 석남리 190-1</t>
        </is>
      </c>
      <c r="B2275" s="3" t="inlineStr">
        <is>
          <t>제2종일반주거지역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11000</v>
      </c>
      <c r="G2275" s="4" t="n">
        <v>296</v>
      </c>
      <c r="H2275" s="4" t="n">
        <v>90</v>
      </c>
      <c r="I2275" s="5" t="n">
        <v>122.2</v>
      </c>
      <c r="J2275" s="5" t="n">
        <v>50</v>
      </c>
      <c r="K2275" s="3" t="inlineStr">
        <is>
          <t>nan</t>
        </is>
      </c>
      <c r="L2275" s="6">
        <f>HYPERLINK("https://fin.land.naver.com/articles/2651401347", "매물Link")</f>
        <v/>
      </c>
      <c r="M2275" s="6">
        <f>HYPERLINK("https://map.naver.com/p/search/유구읍 석남리 190-1", "지도Link")</f>
        <v/>
      </c>
      <c r="N2275" s="6">
        <f>HYPERLINK("http://www.eum.go.kr/web/ar/lu/luLandDet.jsp?pnu=4415025023101900001&amp;isNoScr=script&amp;mode=search", "토지이음")</f>
        <v/>
      </c>
      <c r="O2275" s="3" t="inlineStr">
        <is>
          <t>세종지평</t>
        </is>
      </c>
      <c r="P2275" s="4" t="n">
        <v>1</v>
      </c>
      <c r="Q2275" s="4" t="n">
        <v>296</v>
      </c>
      <c r="R2275" s="3" t="inlineStr">
        <is>
          <t>지정되지않음</t>
        </is>
      </c>
      <c r="S2275" s="3" t="inlineStr">
        <is>
          <t>단독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소로각지</t>
        </is>
      </c>
    </row>
    <row r="2276">
      <c r="A2276" s="3" t="inlineStr">
        <is>
          <t>유구읍 석남리 304-2</t>
        </is>
      </c>
      <c r="B2276" s="3" t="inlineStr">
        <is>
          <t>제2종일반주거지역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15300</v>
      </c>
      <c r="G2276" s="4" t="n">
        <v>360</v>
      </c>
      <c r="H2276" s="4" t="n">
        <v>109</v>
      </c>
      <c r="I2276" s="5" t="n">
        <v>140.4</v>
      </c>
      <c r="J2276" s="5" t="n">
        <v>82</v>
      </c>
      <c r="K2276" s="3" t="inlineStr">
        <is>
          <t>도로접한 2종일반,도시지역,투자용 추천,다용도 사용가능</t>
        </is>
      </c>
      <c r="L2276" s="6">
        <f>HYPERLINK("https://fin.land.naver.com/articles/2654730890", "매물Link")</f>
        <v/>
      </c>
      <c r="M2276" s="6">
        <f>HYPERLINK("https://map.naver.com/p/search/유구읍 석남리 304-2", "지도Link")</f>
        <v/>
      </c>
      <c r="N2276" s="6">
        <f>HYPERLINK("http://www.eum.go.kr/web/ar/lu/luLandDet.jsp?pnu=4415025023103040002&amp;isNoScr=script&amp;mode=search",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360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유구읍 석남리 384-15</t>
        </is>
      </c>
      <c r="B2277" s="3" t="inlineStr">
        <is>
          <t>제2종일반주거지역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15400</v>
      </c>
      <c r="G2277" s="4" t="n">
        <v>392</v>
      </c>
      <c r="H2277" s="4" t="n">
        <v>119</v>
      </c>
      <c r="I2277" s="5" t="n">
        <v>129.4</v>
      </c>
      <c r="J2277" s="5" t="n">
        <v>38.1</v>
      </c>
      <c r="K2277" s="3" t="inlineStr">
        <is>
          <t>급매,도로접,지대가 높은 단독주택지 투자용추천,가격조정가능</t>
        </is>
      </c>
      <c r="L2277" s="6">
        <f>HYPERLINK("https://fin.land.naver.com/articles/2655570877", "매물Link")</f>
        <v/>
      </c>
      <c r="M2277" s="6">
        <f>HYPERLINK("https://map.naver.com/p/search/유구읍 석남리 384-15", "지도Link")</f>
        <v/>
      </c>
      <c r="N2277" s="6">
        <f>HYPERLINK("http://www.eum.go.kr/web/ar/lu/luLandDet.jsp?pnu=4415025023103840015&amp;isNoScr=script&amp;mode=search",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392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부정형</t>
        </is>
      </c>
      <c r="V2277" s="3" t="inlineStr">
        <is>
          <t>소로한면</t>
        </is>
      </c>
    </row>
    <row r="2278">
      <c r="A2278" s="3" t="inlineStr">
        <is>
          <t>유구읍 석남리 80-5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37100</v>
      </c>
      <c r="G2278" s="4" t="n">
        <v>4553</v>
      </c>
      <c r="H2278" s="4" t="n">
        <v>1377</v>
      </c>
      <c r="I2278" s="5" t="n">
        <v>26.9</v>
      </c>
      <c r="J2278" s="5" t="n">
        <v>14.5</v>
      </c>
      <c r="K2278" s="3" t="inlineStr">
        <is>
          <t>유구IC인근 시세보다 저렴한 계획관리 토지</t>
        </is>
      </c>
      <c r="L2278" s="6">
        <f>HYPERLINK("https://fin.land.naver.com/articles/2656410887", "매물Link")</f>
        <v/>
      </c>
      <c r="M2278" s="6">
        <f>HYPERLINK("https://map.naver.com/p/search/유구읍 석남리 80-5", "지도Link")</f>
        <v/>
      </c>
      <c r="N2278" s="6">
        <f>HYPERLINK("http://www.eum.go.kr/web/ar/lu/luLandDet.jsp?pnu=4415025023100800005&amp;isNoScr=script&amp;mode=search", "토지이음")</f>
        <v/>
      </c>
      <c r="O2278" s="3" t="inlineStr">
        <is>
          <t>그린</t>
        </is>
      </c>
      <c r="P2278" s="4" t="n">
        <v>1</v>
      </c>
      <c r="Q2278" s="4" t="n">
        <v>3693</v>
      </c>
      <c r="R2278" s="3" t="inlineStr">
        <is>
          <t>자연녹지지역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부정형</t>
        </is>
      </c>
      <c r="V2278" s="3" t="inlineStr">
        <is>
          <t>세로한면(가)</t>
        </is>
      </c>
    </row>
    <row r="2279">
      <c r="A2279" s="3" t="inlineStr">
        <is>
          <t>유구읍 세동리 114-1</t>
        </is>
      </c>
      <c r="B2279" s="3" t="inlineStr">
        <is>
          <t>생산관리지역</t>
        </is>
      </c>
      <c r="C2279" s="3" t="inlineStr">
        <is>
          <t>전</t>
        </is>
      </c>
      <c r="D2279" s="3" t="inlineStr">
        <is>
          <t>대</t>
        </is>
      </c>
      <c r="E2279" s="3" t="inlineStr">
        <is>
          <t>매매</t>
        </is>
      </c>
      <c r="F2279" s="4" t="n">
        <v>49300</v>
      </c>
      <c r="G2279" s="4" t="n">
        <v>8146</v>
      </c>
      <c r="H2279" s="4" t="n">
        <v>2464</v>
      </c>
      <c r="I2279" s="5" t="n">
        <v>20</v>
      </c>
      <c r="J2279" s="5" t="n">
        <v>4.3</v>
      </c>
      <c r="K2279" s="3" t="inlineStr">
        <is>
          <t>천안,아산,세종에서 접근성좋은 마곡사인근의 전원주택지</t>
        </is>
      </c>
      <c r="L2279" s="6">
        <f>HYPERLINK("https://fin.land.naver.com/articles/2651057707", "매물Link")</f>
        <v/>
      </c>
      <c r="M2279" s="6">
        <f>HYPERLINK("https://map.naver.com/p/search/유구읍 세동리 114-1", "지도Link")</f>
        <v/>
      </c>
      <c r="N2279" s="6">
        <f>HYPERLINK("http://www.eum.go.kr/web/ar/lu/luLandDet.jsp?pnu=4415025032101140001&amp;isNoScr=script&amp;mode=search", "토지이음")</f>
        <v/>
      </c>
      <c r="O2279" s="3" t="inlineStr">
        <is>
          <t>그린</t>
        </is>
      </c>
      <c r="P2279" s="4" t="n">
        <v>1</v>
      </c>
      <c r="Q2279" s="4" t="n">
        <v>3974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유구읍 세동리 336-1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6000</v>
      </c>
      <c r="G2280" s="4" t="n">
        <v>544</v>
      </c>
      <c r="H2280" s="4" t="n">
        <v>165</v>
      </c>
      <c r="I2280" s="5" t="n">
        <v>36.4</v>
      </c>
      <c r="J2280" s="5" t="n">
        <v>7.9</v>
      </c>
      <c r="K2280" s="3" t="inlineStr">
        <is>
          <t>도로접, 계획관리지역, 조용한 마을 2필지입니다</t>
        </is>
      </c>
      <c r="L2280" s="6">
        <f>HYPERLINK("https://fin.land.naver.com/articles/2654581396", "매물Link")</f>
        <v/>
      </c>
      <c r="M2280" s="6">
        <f>HYPERLINK("https://map.naver.com/p/search/유구읍 세동리 336-1", "지도Link")</f>
        <v/>
      </c>
      <c r="N2280" s="6">
        <f>HYPERLINK("http://www.eum.go.kr/web/ar/lu/luLandDet.jsp?pnu=4415025032103360001&amp;isNoScr=script&amp;mode=search", "토지이음")</f>
        <v/>
      </c>
      <c r="O2280" s="3" t="inlineStr">
        <is>
          <t>한성필</t>
        </is>
      </c>
      <c r="P2280" s="4" t="n">
        <v>1</v>
      </c>
      <c r="Q2280" s="4" t="n">
        <v>312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유구읍 신달리 22</t>
        </is>
      </c>
      <c r="B2281" s="3" t="inlineStr">
        <is>
          <t>보전관리지역</t>
        </is>
      </c>
      <c r="C2281" s="3" t="inlineStr">
        <is>
          <t>전</t>
        </is>
      </c>
      <c r="D2281" s="3" t="inlineStr">
        <is>
          <t>전</t>
        </is>
      </c>
      <c r="E2281" s="3" t="inlineStr">
        <is>
          <t>매매</t>
        </is>
      </c>
      <c r="F2281" s="4" t="n">
        <v>16260</v>
      </c>
      <c r="G2281" s="4" t="n">
        <v>3582</v>
      </c>
      <c r="H2281" s="4" t="n">
        <v>1084</v>
      </c>
      <c r="I2281" s="5" t="n">
        <v>15</v>
      </c>
      <c r="J2281" s="5" t="n">
        <v>7.5</v>
      </c>
      <c r="K2281" s="3" t="inlineStr">
        <is>
          <t>4미터 도로 있음</t>
        </is>
      </c>
      <c r="L2281" s="6">
        <f>HYPERLINK("https://fin.land.naver.com/articles/2655203927", "매물Link")</f>
        <v/>
      </c>
      <c r="M2281" s="6">
        <f>HYPERLINK("https://map.naver.com/p/search/유구읍 신달리 22", "지도Link")</f>
        <v/>
      </c>
      <c r="N2281" s="6">
        <f>HYPERLINK("http://www.eum.go.kr/web/ar/lu/luLandDet.jsp?pnu=4415025027100220000&amp;isNoScr=script&amp;mode=search", "토지이음")</f>
        <v/>
      </c>
      <c r="O2281" s="3" t="inlineStr">
        <is>
          <t>벽산블루밍</t>
        </is>
      </c>
      <c r="P2281" s="4" t="n">
        <v>1</v>
      </c>
      <c r="Q2281" s="4" t="n">
        <v>1719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맹지</t>
        </is>
      </c>
    </row>
    <row r="2282">
      <c r="A2282" s="3" t="inlineStr">
        <is>
          <t>유구읍 신달리 22-8</t>
        </is>
      </c>
      <c r="B2282" s="3" t="inlineStr">
        <is>
          <t>보전관리지역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8130</v>
      </c>
      <c r="G2282" s="4" t="n">
        <v>1791</v>
      </c>
      <c r="H2282" s="4" t="n">
        <v>542</v>
      </c>
      <c r="I2282" s="5" t="n">
        <v>15</v>
      </c>
      <c r="J2282" s="5" t="n">
        <v>7.5</v>
      </c>
      <c r="K2282" s="3" t="inlineStr">
        <is>
          <t>청청지역 4미터 도로 있음</t>
        </is>
      </c>
      <c r="L2282" s="6">
        <f>HYPERLINK("https://fin.land.naver.com/articles/2655206680", "매물Link")</f>
        <v/>
      </c>
      <c r="M2282" s="6">
        <f>HYPERLINK("https://map.naver.com/p/search/유구읍 신달리 22-8", "지도Link")</f>
        <v/>
      </c>
      <c r="N2282" s="6">
        <f>HYPERLINK("http://www.eum.go.kr/web/ar/lu/luLandDet.jsp?pnu=4415025027100220008&amp;isNoScr=script&amp;mode=search", "토지이음")</f>
        <v/>
      </c>
      <c r="O2282" s="3" t="inlineStr">
        <is>
          <t>벽산블루밍</t>
        </is>
      </c>
      <c r="P2282" s="4" t="n">
        <v>1</v>
      </c>
      <c r="Q2282" s="4" t="n">
        <v>1719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완경사</t>
        </is>
      </c>
      <c r="U2282" s="3" t="inlineStr">
        <is>
          <t>부정형</t>
        </is>
      </c>
      <c r="V2282" s="3" t="inlineStr">
        <is>
          <t>맹지</t>
        </is>
      </c>
    </row>
    <row r="2283">
      <c r="A2283" s="3" t="inlineStr">
        <is>
          <t>유구읍 신달리 67</t>
        </is>
      </c>
      <c r="B2283" s="3" t="inlineStr">
        <is>
          <t>계획관리지역</t>
        </is>
      </c>
      <c r="C2283" s="3" t="inlineStr">
        <is>
          <t>전</t>
        </is>
      </c>
      <c r="D2283" s="3" t="inlineStr">
        <is>
          <t>전</t>
        </is>
      </c>
      <c r="E2283" s="3" t="inlineStr">
        <is>
          <t>매매</t>
        </is>
      </c>
      <c r="F2283" s="4" t="n">
        <v>12000</v>
      </c>
      <c r="G2283" s="4" t="n">
        <v>873</v>
      </c>
      <c r="H2283" s="4" t="n">
        <v>264</v>
      </c>
      <c r="I2283" s="5" t="n">
        <v>45.5</v>
      </c>
      <c r="J2283" s="5" t="n">
        <v>14.9</v>
      </c>
      <c r="K2283" s="3" t="inlineStr">
        <is>
          <t>공주시 유구읍 신달리 토지매매</t>
        </is>
      </c>
      <c r="L2283" s="6">
        <f>HYPERLINK("https://fin.land.naver.com/articles/2653945251", "매물Link")</f>
        <v/>
      </c>
      <c r="M2283" s="6">
        <f>HYPERLINK("https://map.naver.com/p/search/유구읍 신달리 67", "지도Link")</f>
        <v/>
      </c>
      <c r="N2283" s="6">
        <f>HYPERLINK("http://www.eum.go.kr/web/ar/lu/luLandDet.jsp?pnu=4415025027100670000&amp;isNoScr=script&amp;mode=search", "토지이음")</f>
        <v/>
      </c>
      <c r="O2283" s="3" t="inlineStr">
        <is>
          <t>가가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전</t>
        </is>
      </c>
      <c r="T2283" s="3" t="inlineStr">
        <is>
          <t>평지</t>
        </is>
      </c>
      <c r="U2283" s="3" t="inlineStr">
        <is>
          <t>부정형</t>
        </is>
      </c>
      <c r="V2283" s="3" t="inlineStr">
        <is>
          <t>세로한면(가)</t>
        </is>
      </c>
    </row>
    <row r="2284">
      <c r="A2284" s="3" t="inlineStr">
        <is>
          <t>유구읍 신달리 산11</t>
        </is>
      </c>
      <c r="B2284" s="3" t="inlineStr">
        <is>
          <t>농림지역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13746</v>
      </c>
      <c r="G2284" s="4" t="n">
        <v>22721</v>
      </c>
      <c r="H2284" s="4" t="n">
        <v>6873</v>
      </c>
      <c r="I2284" s="5" t="n">
        <v>2</v>
      </c>
      <c r="J2284" s="5" t="n">
        <v>0.8</v>
      </c>
      <c r="K2284" s="3" t="inlineStr">
        <is>
          <t>저렴한가격</t>
        </is>
      </c>
      <c r="L2284" s="6">
        <f>HYPERLINK("https://fin.land.naver.com/articles/2655495223", "매물Link")</f>
        <v/>
      </c>
      <c r="M2284" s="6">
        <f>HYPERLINK("https://map.naver.com/p/search/유구읍 신달리 산11", "지도Link")</f>
        <v/>
      </c>
      <c r="N2284" s="6">
        <f>HYPERLINK("http://www.eum.go.kr/web/ar/lu/luLandDet.jsp?pnu=4415025027200110000&amp;isNoScr=script&amp;mode=search", "토지이음")</f>
        <v/>
      </c>
      <c r="O2284" s="3" t="inlineStr">
        <is>
          <t>행복</t>
        </is>
      </c>
      <c r="P2284" s="4" t="n">
        <v>1</v>
      </c>
      <c r="Q2284" s="4" t="n">
        <v>22721</v>
      </c>
      <c r="R2284" s="3" t="inlineStr">
        <is>
          <t>지정되지않음</t>
        </is>
      </c>
      <c r="S2284" s="3" t="inlineStr">
        <is>
          <t>자연림</t>
        </is>
      </c>
      <c r="T2284" s="3" t="inlineStr">
        <is>
          <t>고지</t>
        </is>
      </c>
      <c r="U2284" s="3" t="inlineStr">
        <is>
          <t>부정형</t>
        </is>
      </c>
      <c r="V2284" s="3" t="inlineStr">
        <is>
          <t>맹지</t>
        </is>
      </c>
    </row>
    <row r="2285">
      <c r="A2285" s="3" t="inlineStr">
        <is>
          <t>유구읍 신달리 산38-1</t>
        </is>
      </c>
      <c r="B2285" s="3" t="inlineStr">
        <is>
          <t>농림지역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43000</v>
      </c>
      <c r="G2285" s="4" t="n">
        <v>140503</v>
      </c>
      <c r="H2285" s="4" t="n">
        <v>42502</v>
      </c>
      <c r="I2285" s="5" t="n">
        <v>1</v>
      </c>
      <c r="J2285" s="5" t="n">
        <v>0.8</v>
      </c>
      <c r="K2285" s="3" t="inlineStr">
        <is>
          <t>유구ic 인근에 위치한 산으로 저렴한 급매 물건임</t>
        </is>
      </c>
      <c r="L2285" s="6">
        <f>HYPERLINK("https://fin.land.naver.com/articles/2651170516", "매물Link")</f>
        <v/>
      </c>
      <c r="M2285" s="6">
        <f>HYPERLINK("https://map.naver.com/p/search/유구읍 신달리 산38-1", "지도Link")</f>
        <v/>
      </c>
      <c r="N2285" s="6">
        <f>HYPERLINK("http://www.eum.go.kr/web/ar/lu/luLandDet.jsp?pnu=4415025027200380001&amp;isNoScr=script&amp;mode=search", "토지이음")</f>
        <v/>
      </c>
      <c r="O2285" s="3" t="inlineStr">
        <is>
          <t>드림</t>
        </is>
      </c>
      <c r="P2285" s="4" t="n">
        <v>1</v>
      </c>
      <c r="Q2285" s="4" t="n">
        <v>140503</v>
      </c>
      <c r="R2285" s="3" t="inlineStr">
        <is>
          <t>지정되지않음</t>
        </is>
      </c>
      <c r="S2285" s="3" t="inlineStr">
        <is>
          <t>자연림</t>
        </is>
      </c>
      <c r="T2285" s="3" t="inlineStr">
        <is>
          <t>급경사</t>
        </is>
      </c>
      <c r="U2285" s="3" t="inlineStr">
        <is>
          <t>부정형</t>
        </is>
      </c>
      <c r="V2285" s="3" t="inlineStr">
        <is>
          <t>맹지</t>
        </is>
      </c>
    </row>
    <row r="2286">
      <c r="A2286" s="3" t="inlineStr">
        <is>
          <t>유구읍 신영리 169</t>
        </is>
      </c>
      <c r="B2286" s="3" t="inlineStr">
        <is>
          <t>보전관리지역</t>
        </is>
      </c>
      <c r="C2286" s="3" t="inlineStr">
        <is>
          <t>답</t>
        </is>
      </c>
      <c r="D2286" s="3" t="inlineStr">
        <is>
          <t>대</t>
        </is>
      </c>
      <c r="E2286" s="3" t="inlineStr">
        <is>
          <t>매매</t>
        </is>
      </c>
      <c r="F2286" s="4" t="n">
        <v>9100</v>
      </c>
      <c r="G2286" s="4" t="n">
        <v>1084</v>
      </c>
      <c r="H2286" s="4" t="n">
        <v>328</v>
      </c>
      <c r="I2286" s="5" t="n">
        <v>27.7</v>
      </c>
      <c r="J2286" s="5" t="n">
        <v>9.1</v>
      </c>
      <c r="K2286" s="3" t="inlineStr">
        <is>
          <t>유구IC인근 전망좋은 농막부지</t>
        </is>
      </c>
      <c r="L2286" s="6">
        <f>HYPERLINK("https://fin.land.naver.com/articles/2656387812", "매물Link")</f>
        <v/>
      </c>
      <c r="M2286" s="6">
        <f>HYPERLINK("https://map.naver.com/p/search/유구읍 신영리 169", "지도Link")</f>
        <v/>
      </c>
      <c r="N2286" s="6">
        <f>HYPERLINK("http://www.eum.go.kr/web/ar/lu/luLandDet.jsp?pnu=4415025026101690000&amp;isNoScr=script&amp;mode=search", "토지이음")</f>
        <v/>
      </c>
      <c r="O2286" s="3" t="inlineStr">
        <is>
          <t>그린</t>
        </is>
      </c>
      <c r="P2286" s="4" t="n">
        <v>1</v>
      </c>
      <c r="Q2286" s="4" t="n">
        <v>1084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유구읍 신영리 822</t>
        </is>
      </c>
      <c r="B2287" s="3" t="inlineStr">
        <is>
          <t>보전관리지역</t>
        </is>
      </c>
      <c r="C2287" s="3" t="inlineStr">
        <is>
          <t>전</t>
        </is>
      </c>
      <c r="D2287" s="3" t="inlineStr">
        <is>
          <t>전</t>
        </is>
      </c>
      <c r="E2287" s="3" t="inlineStr">
        <is>
          <t>매매</t>
        </is>
      </c>
      <c r="F2287" s="4" t="n">
        <v>7500</v>
      </c>
      <c r="G2287" s="4" t="n">
        <v>2049</v>
      </c>
      <c r="H2287" s="4" t="n">
        <v>620</v>
      </c>
      <c r="I2287" s="5" t="n">
        <v>12.1</v>
      </c>
      <c r="J2287" s="5" t="n">
        <v>5.6</v>
      </c>
      <c r="K2287" s="3" t="inlineStr">
        <is>
          <t>유구읍 신영리 822번지 웅덩이있는토지</t>
        </is>
      </c>
      <c r="L2287" s="6">
        <f>HYPERLINK("https://fin.land.naver.com/articles/2653503326", "매물Link")</f>
        <v/>
      </c>
      <c r="M2287" s="6">
        <f>HYPERLINK("https://map.naver.com/p/search/유구읍 신영리 822", "지도Link")</f>
        <v/>
      </c>
      <c r="N2287" s="6">
        <f>HYPERLINK("http://www.eum.go.kr/web/ar/lu/luLandDet.jsp?pnu=4415025026108220000&amp;isNoScr=script&amp;mode=search", "토지이음")</f>
        <v/>
      </c>
      <c r="O2287" s="3" t="inlineStr">
        <is>
          <t>88</t>
        </is>
      </c>
      <c r="P2287" s="4" t="n">
        <v>1</v>
      </c>
      <c r="Q2287" s="4" t="n">
        <v>1404</v>
      </c>
      <c r="R2287" s="3" t="inlineStr">
        <is>
          <t>지정되지않음</t>
        </is>
      </c>
      <c r="S2287" s="3" t="inlineStr">
        <is>
          <t>전</t>
        </is>
      </c>
      <c r="T2287" s="3" t="inlineStr">
        <is>
          <t>급경사</t>
        </is>
      </c>
      <c r="U2287" s="3" t="inlineStr">
        <is>
          <t>부정형</t>
        </is>
      </c>
      <c r="V2287" s="3" t="inlineStr">
        <is>
          <t>세로한면(불)</t>
        </is>
      </c>
    </row>
    <row r="2288">
      <c r="A2288" s="3" t="inlineStr">
        <is>
          <t>유구읍 신영리 99</t>
        </is>
      </c>
      <c r="B2288" s="3" t="inlineStr">
        <is>
          <t>계획관리지역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9100</v>
      </c>
      <c r="G2288" s="4" t="n">
        <v>1204</v>
      </c>
      <c r="H2288" s="4" t="n">
        <v>364</v>
      </c>
      <c r="I2288" s="5" t="n">
        <v>25</v>
      </c>
      <c r="J2288" s="5" t="n">
        <v>17.6</v>
      </c>
      <c r="K2288" s="3" t="inlineStr">
        <is>
          <t>세종시 30분거리 농취증 필요없는 쉼터자리</t>
        </is>
      </c>
      <c r="L2288" s="6">
        <f>HYPERLINK("https://fin.land.naver.com/articles/2654165096", "매물Link")</f>
        <v/>
      </c>
      <c r="M2288" s="6">
        <f>HYPERLINK("https://map.naver.com/p/search/유구읍 신영리 99", "지도Link")</f>
        <v/>
      </c>
      <c r="N2288" s="6">
        <f>HYPERLINK("http://www.eum.go.kr/web/ar/lu/luLandDet.jsp?pnu=4415025026100990000&amp;isNoScr=script&amp;mode=search", "토지이음")</f>
        <v/>
      </c>
      <c r="O2288" s="3" t="inlineStr">
        <is>
          <t>그린</t>
        </is>
      </c>
      <c r="P2288" s="4" t="n">
        <v>1</v>
      </c>
      <c r="Q2288" s="4" t="n">
        <v>1204</v>
      </c>
      <c r="R2288" s="3" t="inlineStr">
        <is>
          <t>지정되지않음</t>
        </is>
      </c>
      <c r="S2288" s="3" t="inlineStr">
        <is>
          <t>단독</t>
        </is>
      </c>
      <c r="T2288" s="3" t="inlineStr">
        <is>
          <t>평지</t>
        </is>
      </c>
      <c r="U2288" s="3" t="inlineStr">
        <is>
          <t>부정형</t>
        </is>
      </c>
      <c r="V2288" s="3" t="inlineStr">
        <is>
          <t>세로한면(불)</t>
        </is>
      </c>
    </row>
    <row r="2289">
      <c r="A2289" s="3" t="inlineStr">
        <is>
          <t>유구읍 신영리 산13-3</t>
        </is>
      </c>
      <c r="B2289" s="3" t="inlineStr">
        <is>
          <t>농림지역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44500</v>
      </c>
      <c r="G2289" s="4" t="n">
        <v>49000</v>
      </c>
      <c r="H2289" s="4" t="n">
        <v>14822</v>
      </c>
      <c r="I2289" s="5" t="n">
        <v>3</v>
      </c>
      <c r="J2289" s="5" t="n">
        <v>1.6</v>
      </c>
      <c r="K2289" s="3" t="inlineStr">
        <is>
          <t>유구 IC에서 차량으로 5분 거리에 위치한 계곡을 품은 임야 임</t>
        </is>
      </c>
      <c r="L2289" s="6">
        <f>HYPERLINK("https://fin.land.naver.com/articles/2653048429", "매물Link")</f>
        <v/>
      </c>
      <c r="M2289" s="6">
        <f>HYPERLINK("https://map.naver.com/p/search/유구읍 신영리 산13-3", "지도Link")</f>
        <v/>
      </c>
      <c r="N2289" s="6">
        <f>HYPERLINK("http://www.eum.go.kr/web/ar/lu/luLandDet.jsp?pnu=4415025026200130003&amp;isNoScr=script&amp;mode=search", "토지이음")</f>
        <v/>
      </c>
      <c r="O2289" s="3" t="inlineStr">
        <is>
          <t>삼지</t>
        </is>
      </c>
      <c r="P2289" s="4" t="n">
        <v>1</v>
      </c>
      <c r="Q2289" s="4" t="n">
        <v>49000</v>
      </c>
      <c r="R2289" s="3" t="inlineStr">
        <is>
          <t>보전관리지역</t>
        </is>
      </c>
      <c r="S2289" s="3" t="inlineStr">
        <is>
          <t>자연림</t>
        </is>
      </c>
      <c r="T2289" s="3" t="inlineStr">
        <is>
          <t>급경사</t>
        </is>
      </c>
      <c r="U2289" s="3" t="inlineStr">
        <is>
          <t>부정형</t>
        </is>
      </c>
      <c r="V2289" s="3" t="inlineStr">
        <is>
          <t>맹지</t>
        </is>
      </c>
    </row>
    <row r="2290">
      <c r="A2290" s="3" t="inlineStr">
        <is>
          <t>유구읍 유구리 255</t>
        </is>
      </c>
      <c r="B2290" s="3" t="inlineStr">
        <is>
          <t>농림지역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25300</v>
      </c>
      <c r="G2290" s="4" t="n">
        <v>4171</v>
      </c>
      <c r="H2290" s="4" t="n">
        <v>1262</v>
      </c>
      <c r="I2290" s="5" t="n">
        <v>20</v>
      </c>
      <c r="J2290" s="5" t="n">
        <v>10.7</v>
      </c>
      <c r="K2290" s="3" t="inlineStr">
        <is>
          <t>유구농공단지부근 유구시내10분거리 주말농장 전원주택 대토 추천</t>
        </is>
      </c>
      <c r="L2290" s="6">
        <f>HYPERLINK("https://fin.land.naver.com/articles/2653073652", "매물Link")</f>
        <v/>
      </c>
      <c r="M2290" s="6">
        <f>HYPERLINK("https://map.naver.com/p/search/유구읍 유구리 255", "지도Link")</f>
        <v/>
      </c>
      <c r="N2290" s="6">
        <f>HYPERLINK("http://www.eum.go.kr/web/ar/lu/luLandDet.jsp?pnu=4415025024102550000&amp;isNoScr=script&amp;mode=search", "토지이음")</f>
        <v/>
      </c>
      <c r="O2290" s="3" t="inlineStr">
        <is>
          <t>천안삼거리</t>
        </is>
      </c>
      <c r="P2290" s="4" t="n">
        <v>1</v>
      </c>
      <c r="Q2290" s="4" t="n">
        <v>4175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유구읍 유구리 331</t>
        </is>
      </c>
      <c r="B2291" s="3" t="inlineStr">
        <is>
          <t>계획관리지역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42000</v>
      </c>
      <c r="G2291" s="4" t="n">
        <v>3956</v>
      </c>
      <c r="H2291" s="4" t="n">
        <v>1197</v>
      </c>
      <c r="I2291" s="5" t="n">
        <v>35.1</v>
      </c>
      <c r="J2291" s="5" t="n">
        <v>9.300000000000001</v>
      </c>
      <c r="K2291" s="3" t="inlineStr">
        <is>
          <t>주변 전원주택지로 생활여건 편리</t>
        </is>
      </c>
      <c r="L2291" s="6">
        <f>HYPERLINK("https://fin.land.naver.com/articles/2653402952", "매물Link")</f>
        <v/>
      </c>
      <c r="M2291" s="6">
        <f>HYPERLINK("https://map.naver.com/p/search/유구읍 유구리 331", "지도Link")</f>
        <v/>
      </c>
      <c r="N2291" s="6">
        <f>HYPERLINK("http://www.eum.go.kr/web/ar/lu/luLandDet.jsp?pnu=4415025024103310000&amp;isNoScr=script&amp;mode=search", "토지이음")</f>
        <v/>
      </c>
      <c r="O2291" s="3" t="inlineStr">
        <is>
          <t>아이파크현대월드031.222.0039</t>
        </is>
      </c>
      <c r="P2291" s="4" t="n">
        <v>1</v>
      </c>
      <c r="Q2291" s="4" t="n">
        <v>3384</v>
      </c>
      <c r="R2291" s="3" t="inlineStr">
        <is>
          <t>지정되지않음</t>
        </is>
      </c>
      <c r="S2291" s="3" t="inlineStr">
        <is>
          <t>전기타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유구읍 유구리 389-2</t>
        </is>
      </c>
      <c r="B2292" s="3" t="inlineStr">
        <is>
          <t>계획관리지역</t>
        </is>
      </c>
      <c r="C2292" s="3" t="inlineStr">
        <is>
          <t>대</t>
        </is>
      </c>
      <c r="D2292" s="3" t="inlineStr">
        <is>
          <t>전</t>
        </is>
      </c>
      <c r="E2292" s="3" t="inlineStr">
        <is>
          <t>매매</t>
        </is>
      </c>
      <c r="F2292" s="4" t="n">
        <v>32000</v>
      </c>
      <c r="G2292" s="4" t="n">
        <v>463</v>
      </c>
      <c r="H2292" s="4" t="n">
        <v>140</v>
      </c>
      <c r="I2292" s="5" t="n">
        <v>228.6</v>
      </c>
      <c r="J2292" s="5" t="n">
        <v>28.9</v>
      </c>
      <c r="K2292" s="3" t="inlineStr">
        <is>
          <t>전망좋은 대지위에 신축전원주택 매매</t>
        </is>
      </c>
      <c r="L2292" s="6">
        <f>HYPERLINK("https://fin.land.naver.com/articles/2651064700", "매물Link")</f>
        <v/>
      </c>
      <c r="M2292" s="6">
        <f>HYPERLINK("https://map.naver.com/p/search/유구읍 유구리 389-2", "지도Link")</f>
        <v/>
      </c>
      <c r="N2292" s="6">
        <f>HYPERLINK("http://www.eum.go.kr/web/ar/lu/luLandDet.jsp?pnu=4415025024103890002&amp;isNoScr=script&amp;mode=search", "토지이음")</f>
        <v/>
      </c>
      <c r="O2292" s="3" t="inlineStr">
        <is>
          <t>그린</t>
        </is>
      </c>
      <c r="P2292" s="4" t="n">
        <v>1</v>
      </c>
      <c r="Q2292" s="4" t="n">
        <v>463</v>
      </c>
      <c r="R2292" s="3" t="inlineStr">
        <is>
          <t>지정되지않음</t>
        </is>
      </c>
      <c r="S2292" s="3" t="inlineStr">
        <is>
          <t>단독</t>
        </is>
      </c>
      <c r="T2292" s="3" t="inlineStr">
        <is>
          <t>완경사</t>
        </is>
      </c>
      <c r="U2292" s="3" t="inlineStr">
        <is>
          <t>사다리형</t>
        </is>
      </c>
      <c r="V2292" s="3" t="inlineStr">
        <is>
          <t>세로한면(가)</t>
        </is>
      </c>
    </row>
    <row r="2293">
      <c r="A2293" s="3" t="inlineStr">
        <is>
          <t>유구읍 유구리 524</t>
        </is>
      </c>
      <c r="B2293" s="3" t="inlineStr">
        <is>
          <t>계획관리지역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46600</v>
      </c>
      <c r="G2293" s="4" t="n">
        <v>7714</v>
      </c>
      <c r="H2293" s="4" t="n">
        <v>2333</v>
      </c>
      <c r="I2293" s="5" t="n">
        <v>20</v>
      </c>
      <c r="J2293" s="5" t="n">
        <v>12.1</v>
      </c>
      <c r="K2293" s="3" t="inlineStr">
        <is>
          <t>유구색동수국정원인근 박원숙의 같이삽시다에 나온 전원주택근처 전원주택지</t>
        </is>
      </c>
      <c r="L2293" s="6">
        <f>HYPERLINK("https://fin.land.naver.com/articles/2652011243", "매물Link")</f>
        <v/>
      </c>
      <c r="M2293" s="6">
        <f>HYPERLINK("https://map.naver.com/p/search/유구읍 유구리 524", "지도Link")</f>
        <v/>
      </c>
      <c r="N2293" s="6">
        <f>HYPERLINK("http://www.eum.go.kr/web/ar/lu/luLandDet.jsp?pnu=4415025024105240000&amp;isNoScr=script&amp;mode=search", "토지이음")</f>
        <v/>
      </c>
      <c r="O2293" s="3" t="inlineStr">
        <is>
          <t>그린</t>
        </is>
      </c>
      <c r="P2293" s="4" t="n">
        <v>1</v>
      </c>
      <c r="Q2293" s="4" t="n">
        <v>5185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유구읍 유구리 648-42</t>
        </is>
      </c>
      <c r="B2294" s="3" t="inlineStr">
        <is>
          <t>제2종일반주거지역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3980</v>
      </c>
      <c r="G2294" s="4" t="n">
        <v>133</v>
      </c>
      <c r="H2294" s="4" t="n">
        <v>40</v>
      </c>
      <c r="I2294" s="5" t="n">
        <v>99.5</v>
      </c>
      <c r="J2294" s="5" t="n">
        <v>39.3</v>
      </c>
      <c r="K2294" s="3" t="inlineStr">
        <is>
          <t>유궁읍 유구리 2종일반주거지역</t>
        </is>
      </c>
      <c r="L2294" s="6">
        <f>HYPERLINK("https://fin.land.naver.com/articles/2651680582", "매물Link")</f>
        <v/>
      </c>
      <c r="M2294" s="6">
        <f>HYPERLINK("https://map.naver.com/p/search/유구읍 유구리 648-42", "지도Link")</f>
        <v/>
      </c>
      <c r="N2294" s="6">
        <f>HYPERLINK("http://www.eum.go.kr/web/ar/lu/luLandDet.jsp?pnu=4415025024106480042&amp;isNoScr=script&amp;mode=search", "토지이음")</f>
        <v/>
      </c>
      <c r="O2294" s="3" t="inlineStr">
        <is>
          <t>88</t>
        </is>
      </c>
      <c r="P2294" s="4" t="n">
        <v>1</v>
      </c>
      <c r="Q2294" s="4" t="n">
        <v>133</v>
      </c>
      <c r="R2294" s="3" t="inlineStr">
        <is>
          <t>지정되지않음</t>
        </is>
      </c>
      <c r="S2294" s="3" t="inlineStr">
        <is>
          <t>주거기타</t>
        </is>
      </c>
      <c r="T2294" s="3" t="inlineStr">
        <is>
          <t>평지</t>
        </is>
      </c>
      <c r="U2294" s="3" t="inlineStr">
        <is>
          <t>부정형</t>
        </is>
      </c>
      <c r="V2294" s="3" t="inlineStr">
        <is>
          <t>세로한면(가)</t>
        </is>
      </c>
    </row>
    <row r="2295">
      <c r="A2295" s="3" t="inlineStr">
        <is>
          <t>유구읍 유구리 산63-10</t>
        </is>
      </c>
      <c r="B2295" s="3" t="inlineStr">
        <is>
          <t>계획관리지역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63000</v>
      </c>
      <c r="G2295" s="4" t="n">
        <v>20946</v>
      </c>
      <c r="H2295" s="4" t="n">
        <v>6336</v>
      </c>
      <c r="I2295" s="5" t="n">
        <v>9.9</v>
      </c>
      <c r="J2295" s="5" t="n">
        <v>4.6</v>
      </c>
      <c r="K2295" s="3" t="inlineStr">
        <is>
          <t>도시 계획도로에 접한 임야</t>
        </is>
      </c>
      <c r="L2295" s="6">
        <f>HYPERLINK("https://fin.land.naver.com/articles/2652090062", "매물Link")</f>
        <v/>
      </c>
      <c r="M2295" s="6">
        <f>HYPERLINK("https://map.naver.com/p/search/유구읍 유구리 산63-10", "지도Link")</f>
        <v/>
      </c>
      <c r="N2295" s="6">
        <f>HYPERLINK("http://www.eum.go.kr/web/ar/lu/luLandDet.jsp?pnu=4415025024200630010&amp;isNoScr=script&amp;mode=search", "토지이음")</f>
        <v/>
      </c>
      <c r="O2295" s="3" t="inlineStr">
        <is>
          <t>대동</t>
        </is>
      </c>
      <c r="P2295" s="4" t="n">
        <v>1</v>
      </c>
      <c r="Q2295" s="4" t="n">
        <v>21622</v>
      </c>
      <c r="R2295" s="3" t="inlineStr">
        <is>
          <t>지정되지않음</t>
        </is>
      </c>
      <c r="S2295" s="3" t="inlineStr">
        <is>
          <t>자연림</t>
        </is>
      </c>
      <c r="T2295" s="3" t="inlineStr">
        <is>
          <t>완경사</t>
        </is>
      </c>
      <c r="U2295" s="3" t="inlineStr">
        <is>
          <t>부정형</t>
        </is>
      </c>
      <c r="V2295" s="3" t="inlineStr">
        <is>
          <t>맹지</t>
        </is>
      </c>
    </row>
    <row r="2296">
      <c r="A2296" s="3" t="inlineStr">
        <is>
          <t>유구읍 유구리 산74</t>
        </is>
      </c>
      <c r="B2296" s="3" t="inlineStr">
        <is>
          <t>계획관리지역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6500</v>
      </c>
      <c r="G2296" s="4" t="n">
        <v>6876</v>
      </c>
      <c r="H2296" s="4" t="n">
        <v>2080</v>
      </c>
      <c r="I2296" s="5" t="n">
        <v>3.1</v>
      </c>
      <c r="J2296" s="5" t="n">
        <v>3.1</v>
      </c>
      <c r="K2296" s="3" t="inlineStr">
        <is>
          <t>공시가매매 유구 수국정원인근 전원주택지 인근 야산</t>
        </is>
      </c>
      <c r="L2296" s="6">
        <f>HYPERLINK("https://fin.land.naver.com/articles/2653685811", "매물Link")</f>
        <v/>
      </c>
      <c r="M2296" s="6">
        <f>HYPERLINK("https://map.naver.com/p/search/유구읍 유구리 산74", "지도Link")</f>
        <v/>
      </c>
      <c r="N2296" s="6">
        <f>HYPERLINK("http://www.eum.go.kr/web/ar/lu/luLandDet.jsp?pnu=4415025024200740000&amp;isNoScr=script&amp;mode=search", "토지이음")</f>
        <v/>
      </c>
      <c r="O2296" s="3" t="inlineStr">
        <is>
          <t>지성</t>
        </is>
      </c>
      <c r="P2296" s="4" t="n">
        <v>1</v>
      </c>
      <c r="Q2296" s="4" t="n">
        <v>6876</v>
      </c>
      <c r="R2296" s="3" t="inlineStr">
        <is>
          <t>지정되지않음</t>
        </is>
      </c>
      <c r="S2296" s="3" t="inlineStr">
        <is>
          <t>자연림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유구읍 추계리 12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8000</v>
      </c>
      <c r="G2297" s="4" t="n">
        <v>840</v>
      </c>
      <c r="H2297" s="4" t="n">
        <v>254</v>
      </c>
      <c r="I2297" s="5" t="n">
        <v>31.5</v>
      </c>
      <c r="J2297" s="5" t="n">
        <v>4.9</v>
      </c>
      <c r="K2297" s="3" t="inlineStr">
        <is>
          <t>도심 밖의 나만의 힐링 공간, 맑은 공기 조용한 환경에서 스트레스 해소</t>
        </is>
      </c>
      <c r="L2297" s="6">
        <f>HYPERLINK("https://fin.land.naver.com/articles/2653383980", "매물Link")</f>
        <v/>
      </c>
      <c r="M2297" s="6">
        <f>HYPERLINK("https://map.naver.com/p/search/유구읍 추계리 12", "지도Link")</f>
        <v/>
      </c>
      <c r="N2297" s="6">
        <f>HYPERLINK("http://www.eum.go.kr/web/ar/lu/luLandDet.jsp?pnu=4415025033100120000&amp;isNoScr=script&amp;mode=search", "토지이음")</f>
        <v/>
      </c>
      <c r="O2297" s="3" t="inlineStr">
        <is>
          <t>금토</t>
        </is>
      </c>
      <c r="P2297" s="4" t="n">
        <v>1</v>
      </c>
      <c r="Q2297" s="4" t="n">
        <v>840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유구읍 추계리 33-5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28600</v>
      </c>
      <c r="G2298" s="4" t="n">
        <v>4724</v>
      </c>
      <c r="H2298" s="4" t="n">
        <v>1429</v>
      </c>
      <c r="I2298" s="5" t="n">
        <v>20</v>
      </c>
      <c r="J2298" s="5" t="n">
        <v>2.9</v>
      </c>
      <c r="K2298" s="3" t="inlineStr">
        <is>
          <t>유구읍추계리 계획관리, 농막있음, 지하수,정화조 등 설치완료</t>
        </is>
      </c>
      <c r="L2298" s="6">
        <f>HYPERLINK("https://fin.land.naver.com/articles/2654255492", "매물Link")</f>
        <v/>
      </c>
      <c r="M2298" s="6">
        <f>HYPERLINK("https://map.naver.com/p/search/유구읍 추계리 33-5", "지도Link")</f>
        <v/>
      </c>
      <c r="N2298" s="6">
        <f>HYPERLINK("http://www.eum.go.kr/web/ar/lu/luLandDet.jsp?pnu=4415025033100330005&amp;isNoScr=script&amp;mode=search", "토지이음")</f>
        <v/>
      </c>
      <c r="O2298" s="3" t="inlineStr">
        <is>
          <t>불당아름드리</t>
        </is>
      </c>
      <c r="P2298" s="4" t="n">
        <v>1</v>
      </c>
      <c r="Q2298" s="4" t="n">
        <v>2241</v>
      </c>
      <c r="R2298" s="3" t="inlineStr">
        <is>
          <t>농림지역</t>
        </is>
      </c>
      <c r="S2298" s="3" t="inlineStr">
        <is>
          <t>전</t>
        </is>
      </c>
      <c r="T2298" s="3" t="inlineStr">
        <is>
          <t>급경사</t>
        </is>
      </c>
      <c r="U2298" s="3" t="inlineStr">
        <is>
          <t>부정형</t>
        </is>
      </c>
      <c r="V2298" s="3" t="inlineStr">
        <is>
          <t>맹지</t>
        </is>
      </c>
    </row>
    <row r="2299">
      <c r="A2299" s="3" t="inlineStr">
        <is>
          <t>유구읍 추계리 33-5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28600</v>
      </c>
      <c r="G2299" s="4" t="n">
        <v>4727</v>
      </c>
      <c r="H2299" s="4" t="n">
        <v>1430</v>
      </c>
      <c r="I2299" s="5" t="n">
        <v>20</v>
      </c>
      <c r="J2299" s="5" t="n">
        <v>2.9</v>
      </c>
      <c r="K2299" s="3" t="inlineStr">
        <is>
          <t>산속 한적한곳 주택 건축하기 좋고 주말농장 세컨하우스 추천 토지</t>
        </is>
      </c>
      <c r="L2299" s="6">
        <f>HYPERLINK("https://fin.land.naver.com/articles/2650923615", "매물Link")</f>
        <v/>
      </c>
      <c r="M2299" s="6">
        <f>HYPERLINK("https://map.naver.com/p/search/유구읍 추계리 33-5", "지도Link")</f>
        <v/>
      </c>
      <c r="N2299" s="6">
        <f>HYPERLINK("http://www.eum.go.kr/web/ar/lu/luLandDet.jsp?pnu=4415025033100330005&amp;isNoScr=script&amp;mode=search", "토지이음")</f>
        <v/>
      </c>
      <c r="O2299" s="3" t="inlineStr">
        <is>
          <t>나침반</t>
        </is>
      </c>
      <c r="P2299" s="4" t="n">
        <v>1</v>
      </c>
      <c r="Q2299" s="4" t="n">
        <v>2241</v>
      </c>
      <c r="R2299" s="3" t="inlineStr">
        <is>
          <t>농림지역</t>
        </is>
      </c>
      <c r="S2299" s="3" t="inlineStr">
        <is>
          <t>전</t>
        </is>
      </c>
      <c r="T2299" s="3" t="inlineStr">
        <is>
          <t>급경사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유구읍 추계리 428-3</t>
        </is>
      </c>
      <c r="B2300" s="3" t="inlineStr">
        <is>
          <t>보전관리지역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12000</v>
      </c>
      <c r="G2300" s="4" t="n">
        <v>658</v>
      </c>
      <c r="H2300" s="4" t="n">
        <v>199</v>
      </c>
      <c r="I2300" s="5" t="n">
        <v>60.3</v>
      </c>
      <c r="J2300" s="5" t="n">
        <v>8.4</v>
      </c>
      <c r="K2300" s="3" t="inlineStr">
        <is>
          <t>텃밭,농막,비닐하우스 설치되어 있음, 유구IC까지 승용차로 10분거리</t>
        </is>
      </c>
      <c r="L2300" s="6">
        <f>HYPERLINK("https://fin.land.naver.com/articles/2654312553", "매물Link")</f>
        <v/>
      </c>
      <c r="M2300" s="6">
        <f>HYPERLINK("https://map.naver.com/p/search/유구읍 추계리 428-3", "지도Link")</f>
        <v/>
      </c>
      <c r="N2300" s="6">
        <f>HYPERLINK("http://www.eum.go.kr/web/ar/lu/luLandDet.jsp?pnu=4415025033104280003&amp;isNoScr=script&amp;mode=search", "토지이음")</f>
        <v/>
      </c>
      <c r="O2300" s="3" t="inlineStr">
        <is>
          <t>진사무소</t>
        </is>
      </c>
      <c r="P2300" s="4" t="n">
        <v>1</v>
      </c>
      <c r="Q2300" s="4" t="n">
        <v>658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세로한면(불)</t>
        </is>
      </c>
    </row>
    <row r="2301">
      <c r="A2301" s="3" t="inlineStr">
        <is>
          <t>유구읍 추계리 490-3</t>
        </is>
      </c>
      <c r="B2301" s="3" t="inlineStr">
        <is>
          <t>보전관리지역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14000</v>
      </c>
      <c r="G2301" s="4" t="n">
        <v>1303</v>
      </c>
      <c r="H2301" s="4" t="n">
        <v>394</v>
      </c>
      <c r="I2301" s="5" t="n">
        <v>35.5</v>
      </c>
      <c r="J2301" s="5" t="n">
        <v>10.3</v>
      </c>
      <c r="K2301" s="3" t="inlineStr">
        <is>
          <t>천안아산 인접한 유구읍 추계리 전망좋은위치의 전원주택지</t>
        </is>
      </c>
      <c r="L2301" s="6">
        <f>HYPERLINK("https://fin.land.naver.com/articles/2656408592", "매물Link")</f>
        <v/>
      </c>
      <c r="M2301" s="6">
        <f>HYPERLINK("https://map.naver.com/p/search/유구읍 추계리 490-3", "지도Link")</f>
        <v/>
      </c>
      <c r="N2301" s="6">
        <f>HYPERLINK("http://www.eum.go.kr/web/ar/lu/luLandDet.jsp?pnu=4415025033104900003&amp;isNoScr=script&amp;mode=search", "토지이음")</f>
        <v/>
      </c>
      <c r="O2301" s="3" t="inlineStr">
        <is>
          <t>그린</t>
        </is>
      </c>
      <c r="P2301" s="4" t="n">
        <v>1</v>
      </c>
      <c r="Q2301" s="4" t="n">
        <v>764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유구읍 추계리 54-1</t>
        </is>
      </c>
      <c r="B2302" s="3" t="inlineStr">
        <is>
          <t>보전관리지역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8300</v>
      </c>
      <c r="G2302" s="4" t="n">
        <v>783</v>
      </c>
      <c r="H2302" s="4" t="n">
        <v>237</v>
      </c>
      <c r="I2302" s="5" t="n">
        <v>35</v>
      </c>
      <c r="J2302" s="5" t="n">
        <v>3.4</v>
      </c>
      <c r="K2302" s="3" t="inlineStr">
        <is>
          <t>남향, 땅 앞에 실개천 있슴</t>
        </is>
      </c>
      <c r="L2302" s="6">
        <f>HYPERLINK("https://fin.land.naver.com/articles/2652469463", "매물Link")</f>
        <v/>
      </c>
      <c r="M2302" s="6">
        <f>HYPERLINK("https://map.naver.com/p/search/유구읍 추계리 54-1", "지도Link")</f>
        <v/>
      </c>
      <c r="N2302" s="6">
        <f>HYPERLINK("http://www.eum.go.kr/web/ar/lu/luLandDet.jsp?pnu=4415025033100540001&amp;isNoScr=script&amp;mode=search", "토지이음")</f>
        <v/>
      </c>
      <c r="O2302" s="3" t="inlineStr">
        <is>
          <t>엘림</t>
        </is>
      </c>
      <c r="P2302" s="4" t="n">
        <v>1</v>
      </c>
      <c r="Q2302" s="4" t="n">
        <v>783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맹지</t>
        </is>
      </c>
    </row>
    <row r="2303">
      <c r="A2303" s="3" t="inlineStr">
        <is>
          <t>유구읍 추계리 54-1</t>
        </is>
      </c>
      <c r="B2303" s="3" t="inlineStr">
        <is>
          <t>보전관리지역</t>
        </is>
      </c>
      <c r="C2303" s="3" t="inlineStr">
        <is>
          <t>전</t>
        </is>
      </c>
      <c r="D2303" s="3" t="inlineStr">
        <is>
          <t>답</t>
        </is>
      </c>
      <c r="E2303" s="3" t="inlineStr">
        <is>
          <t>매매</t>
        </is>
      </c>
      <c r="F2303" s="4" t="n">
        <v>15000</v>
      </c>
      <c r="G2303" s="4" t="n">
        <v>1259</v>
      </c>
      <c r="H2303" s="4" t="n">
        <v>381</v>
      </c>
      <c r="I2303" s="5" t="n">
        <v>39.4</v>
      </c>
      <c r="J2303" s="5" t="n">
        <v>3.4</v>
      </c>
      <c r="K2303" s="3" t="inlineStr">
        <is>
          <t>유구 전원주택 부지 허가완료 매매</t>
        </is>
      </c>
      <c r="L2303" s="6">
        <f>HYPERLINK("https://fin.land.naver.com/articles/2653307009", "매물Link")</f>
        <v/>
      </c>
      <c r="M2303" s="6">
        <f>HYPERLINK("https://map.naver.com/p/search/유구읍 추계리 54-1", "지도Link")</f>
        <v/>
      </c>
      <c r="N2303" s="6">
        <f>HYPERLINK("http://www.eum.go.kr/web/ar/lu/luLandDet.jsp?pnu=4415025033100540001&amp;isNoScr=script&amp;mode=search", "토지이음")</f>
        <v/>
      </c>
      <c r="O2303" s="3" t="inlineStr">
        <is>
          <t>주식회사넥서스</t>
        </is>
      </c>
      <c r="P2303" s="4" t="n">
        <v>2</v>
      </c>
      <c r="Q2303" s="4" t="n">
        <v>783</v>
      </c>
      <c r="R2303" s="3" t="inlineStr">
        <is>
          <t>지정되지않음</t>
        </is>
      </c>
      <c r="S2303" s="3" t="inlineStr">
        <is>
          <t>전</t>
        </is>
      </c>
      <c r="T2303" s="3" t="inlineStr">
        <is>
          <t>완경사</t>
        </is>
      </c>
      <c r="U2303" s="3" t="inlineStr">
        <is>
          <t>부정형</t>
        </is>
      </c>
      <c r="V2303" s="3" t="inlineStr">
        <is>
          <t>맹지</t>
        </is>
      </c>
    </row>
    <row r="2304">
      <c r="A2304" s="3" t="inlineStr">
        <is>
          <t>유구읍 추계리 672</t>
        </is>
      </c>
      <c r="B2304" s="3" t="inlineStr">
        <is>
          <t>보전관리지역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13500</v>
      </c>
      <c r="G2304" s="4" t="n">
        <v>2055</v>
      </c>
      <c r="H2304" s="4" t="n">
        <v>622</v>
      </c>
      <c r="I2304" s="5" t="n">
        <v>21.7</v>
      </c>
      <c r="J2304" s="5" t="n">
        <v>7.3</v>
      </c>
      <c r="K2304" s="3" t="inlineStr">
        <is>
          <t>6미터포장도로접.태양광및인삼밭최적.마을에서600미터위치.분묘소재.가격저렴</t>
        </is>
      </c>
      <c r="L2304" s="6">
        <f>HYPERLINK("https://fin.land.naver.com/articles/2656103138", "매물Link")</f>
        <v/>
      </c>
      <c r="M2304" s="6">
        <f>HYPERLINK("https://map.naver.com/p/search/유구읍 추계리 672", "지도Link")</f>
        <v/>
      </c>
      <c r="N2304" s="6">
        <f>HYPERLINK("http://www.eum.go.kr/web/ar/lu/luLandDet.jsp?pnu=4415025033106720000&amp;isNoScr=script&amp;mode=search", "토지이음")</f>
        <v/>
      </c>
      <c r="O2304" s="3" t="inlineStr">
        <is>
          <t>돈방석</t>
        </is>
      </c>
      <c r="P2304" s="4" t="n">
        <v>1</v>
      </c>
      <c r="Q2304" s="4" t="n">
        <v>2055</v>
      </c>
      <c r="R2304" s="3" t="inlineStr">
        <is>
          <t>지정되지않음</t>
        </is>
      </c>
      <c r="S2304" s="3" t="inlineStr">
        <is>
          <t>전</t>
        </is>
      </c>
      <c r="T2304" s="3" t="inlineStr">
        <is>
          <t>완경사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유구읍 추계리 산14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83000</v>
      </c>
      <c r="G2305" s="4" t="n">
        <v>45785</v>
      </c>
      <c r="H2305" s="4" t="n">
        <v>13850</v>
      </c>
      <c r="I2305" s="5" t="n">
        <v>6</v>
      </c>
      <c r="J2305" s="5" t="n">
        <v>1.8</v>
      </c>
      <c r="K2305" s="3" t="inlineStr">
        <is>
          <t>급매 토지로 3m포장도로 접한 임야로 분할후 전원주택용지,투자용으로 추천</t>
        </is>
      </c>
      <c r="L2305" s="6">
        <f>HYPERLINK("https://fin.land.naver.com/articles/2655652891", "매물Link")</f>
        <v/>
      </c>
      <c r="M2305" s="6">
        <f>HYPERLINK("https://map.naver.com/p/search/유구읍 추계리 산14", "지도Link")</f>
        <v/>
      </c>
      <c r="N2305" s="6">
        <f>HYPERLINK("http://www.eum.go.kr/web/ar/lu/luLandDet.jsp?pnu=4415025033200140000&amp;isNoScr=script&amp;mode=search", "토지이음")</f>
        <v/>
      </c>
      <c r="O2305" s="3" t="inlineStr">
        <is>
          <t>경매킹사무소</t>
        </is>
      </c>
      <c r="P2305" s="4" t="n">
        <v>1</v>
      </c>
      <c r="Q2305" s="4" t="n">
        <v>45758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세로한면(불)</t>
        </is>
      </c>
    </row>
    <row r="2306">
      <c r="A2306" s="3" t="inlineStr">
        <is>
          <t>유구읍 추계리 산14-3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43000</v>
      </c>
      <c r="G2306" s="4" t="n">
        <v>20827</v>
      </c>
      <c r="H2306" s="4" t="n">
        <v>6300</v>
      </c>
      <c r="I2306" s="5" t="n">
        <v>6.8</v>
      </c>
      <c r="J2306" s="5" t="n">
        <v>1.8</v>
      </c>
      <c r="K2306" s="3" t="inlineStr">
        <is>
          <t>급매 토지로 3m포장도로 접한 임야, 분할후 전원주택용지,투자용으로 추천</t>
        </is>
      </c>
      <c r="L2306" s="6">
        <f>HYPERLINK("https://fin.land.naver.com/articles/2655653101", "매물Link")</f>
        <v/>
      </c>
      <c r="M2306" s="6">
        <f>HYPERLINK("https://map.naver.com/p/search/유구읍 추계리 산14-3", "지도Link")</f>
        <v/>
      </c>
      <c r="N2306" s="6">
        <f>HYPERLINK("http://www.eum.go.kr/web/ar/lu/luLandDet.jsp?pnu=4415025033200140003&amp;isNoScr=script&amp;mode=search", "토지이음")</f>
        <v/>
      </c>
      <c r="O2306" s="3" t="inlineStr">
        <is>
          <t>경매킹사무소</t>
        </is>
      </c>
      <c r="P2306" s="4" t="n">
        <v>1</v>
      </c>
      <c r="Q2306" s="4" t="n">
        <v>20827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유구읍 추계리 산58-1</t>
        </is>
      </c>
      <c r="B2307" s="3" t="inlineStr">
        <is>
          <t>농림지역</t>
        </is>
      </c>
      <c r="C2307" s="3" t="inlineStr">
        <is>
          <t>임야</t>
        </is>
      </c>
      <c r="D2307" s="3" t="inlineStr">
        <is>
          <t>대</t>
        </is>
      </c>
      <c r="E2307" s="3" t="inlineStr">
        <is>
          <t>매매</t>
        </is>
      </c>
      <c r="F2307" s="4" t="n">
        <v>30000</v>
      </c>
      <c r="G2307" s="4" t="n">
        <v>108915</v>
      </c>
      <c r="H2307" s="4" t="n">
        <v>32947</v>
      </c>
      <c r="I2307" s="5" t="n">
        <v>0.9</v>
      </c>
      <c r="J2307" s="5" t="n">
        <v>0.8</v>
      </c>
      <c r="K2307" s="3" t="inlineStr">
        <is>
          <t>유구읍 용목동계곡의 저렴한 임야</t>
        </is>
      </c>
      <c r="L2307" s="6">
        <f>HYPERLINK("https://fin.land.naver.com/articles/2656373911", "매물Link")</f>
        <v/>
      </c>
      <c r="M2307" s="6">
        <f>HYPERLINK("https://map.naver.com/p/search/유구읍 추계리 산58-1", "지도Link")</f>
        <v/>
      </c>
      <c r="N2307" s="6">
        <f>HYPERLINK("http://www.eum.go.kr/web/ar/lu/luLandDet.jsp?pnu=4415025033200580001&amp;isNoScr=script&amp;mode=search", "토지이음")</f>
        <v/>
      </c>
      <c r="O2307" s="3" t="inlineStr">
        <is>
          <t>그린</t>
        </is>
      </c>
      <c r="P2307" s="4" t="n">
        <v>1</v>
      </c>
      <c r="Q2307" s="4" t="n">
        <v>99394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급경사</t>
        </is>
      </c>
      <c r="U2307" s="3" t="inlineStr">
        <is>
          <t>부정형</t>
        </is>
      </c>
      <c r="V2307" s="3" t="inlineStr">
        <is>
          <t>맹지</t>
        </is>
      </c>
    </row>
    <row r="2308">
      <c r="A2308" s="3" t="inlineStr">
        <is>
          <t>유구읍 탑곡리 19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대</t>
        </is>
      </c>
      <c r="E2308" s="3" t="inlineStr">
        <is>
          <t>매매</t>
        </is>
      </c>
      <c r="F2308" s="4" t="n">
        <v>4500</v>
      </c>
      <c r="G2308" s="4" t="n">
        <v>1736</v>
      </c>
      <c r="H2308" s="4" t="n">
        <v>525</v>
      </c>
      <c r="I2308" s="5" t="n">
        <v>8.6</v>
      </c>
      <c r="J2308" s="5" t="n">
        <v>7.7</v>
      </c>
      <c r="K2308" s="3" t="inlineStr">
        <is>
          <t>조용한 마을 계곡옆 농막부지,</t>
        </is>
      </c>
      <c r="L2308" s="6">
        <f>HYPERLINK("https://fin.land.naver.com/articles/2656398620", "매물Link")</f>
        <v/>
      </c>
      <c r="M2308" s="6">
        <f>HYPERLINK("https://map.naver.com/p/search/유구읍 탑곡리 19", "지도Link")</f>
        <v/>
      </c>
      <c r="N2308" s="6">
        <f>HYPERLINK("http://www.eum.go.kr/web/ar/lu/luLandDet.jsp?pnu=4415025036100190000&amp;isNoScr=script&amp;mode=search", "토지이음")</f>
        <v/>
      </c>
      <c r="O2308" s="3" t="inlineStr">
        <is>
          <t>그린</t>
        </is>
      </c>
      <c r="P2308" s="4" t="n">
        <v>1</v>
      </c>
      <c r="Q2308" s="4" t="n">
        <v>1736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맹지</t>
        </is>
      </c>
    </row>
    <row r="2309">
      <c r="A2309" s="3" t="inlineStr">
        <is>
          <t>유구읍 탑곡리 산165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190000</v>
      </c>
      <c r="G2309" s="4" t="n">
        <v>150347</v>
      </c>
      <c r="H2309" s="4" t="n">
        <v>45480</v>
      </c>
      <c r="I2309" s="5" t="n">
        <v>4.2</v>
      </c>
      <c r="J2309" s="5" t="n">
        <v>1.8</v>
      </c>
      <c r="K2309" s="3" t="inlineStr">
        <is>
          <t>예산세종연결도로  계획구간에 위치한 임야로 향후 용도다양 높지않은 임야</t>
        </is>
      </c>
      <c r="L2309" s="6">
        <f>HYPERLINK("https://fin.land.naver.com/articles/2653596323", "매물Link")</f>
        <v/>
      </c>
      <c r="M2309" s="6">
        <f>HYPERLINK("https://map.naver.com/p/search/유구읍 탑곡리 산165", "지도Link")</f>
        <v/>
      </c>
      <c r="N2309" s="6">
        <f>HYPERLINK("http://www.eum.go.kr/web/ar/lu/luLandDet.jsp?pnu=4415025036201650000&amp;isNoScr=script&amp;mode=search", "토지이음")</f>
        <v/>
      </c>
      <c r="O2309" s="3" t="inlineStr">
        <is>
          <t>동남</t>
        </is>
      </c>
      <c r="P2309" s="4" t="n">
        <v>1</v>
      </c>
      <c r="Q2309" s="4" t="n">
        <v>55041</v>
      </c>
      <c r="R2309" s="3" t="inlineStr">
        <is>
          <t>농림지역</t>
        </is>
      </c>
      <c r="S2309" s="3" t="inlineStr">
        <is>
          <t>자연림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맹지</t>
        </is>
      </c>
    </row>
    <row r="2310">
      <c r="A2310" s="3" t="inlineStr">
        <is>
          <t>유구읍 탑곡리 산168</t>
        </is>
      </c>
      <c r="B2310" s="3" t="inlineStr">
        <is>
          <t>농림지역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66500</v>
      </c>
      <c r="G2310" s="4" t="n">
        <v>73289</v>
      </c>
      <c r="H2310" s="4" t="n">
        <v>22170</v>
      </c>
      <c r="I2310" s="5" t="n">
        <v>3</v>
      </c>
      <c r="J2310" s="5" t="n">
        <v>0.5</v>
      </c>
      <c r="K2310" s="3" t="inlineStr">
        <is>
          <t>예산세종연결도로  계획구간에 위치한 임야로 향후 용도다양 높지않은 임야</t>
        </is>
      </c>
      <c r="L2310" s="6">
        <f>HYPERLINK("https://fin.land.naver.com/articles/2653596889", "매물Link")</f>
        <v/>
      </c>
      <c r="M2310" s="6">
        <f>HYPERLINK("https://map.naver.com/p/search/유구읍 탑곡리 산168", "지도Link")</f>
        <v/>
      </c>
      <c r="N2310" s="6">
        <f>HYPERLINK("http://www.eum.go.kr/web/ar/lu/luLandDet.jsp?pnu=4415025036201680000&amp;isNoScr=script&amp;mode=search", "토지이음")</f>
        <v/>
      </c>
      <c r="O2310" s="3" t="inlineStr">
        <is>
          <t>동남</t>
        </is>
      </c>
      <c r="P2310" s="4" t="n">
        <v>1</v>
      </c>
      <c r="Q2310" s="4" t="n">
        <v>62777</v>
      </c>
      <c r="R2310" s="3" t="inlineStr">
        <is>
          <t>지정되지않음</t>
        </is>
      </c>
      <c r="S2310" s="3" t="inlineStr">
        <is>
          <t>자연림</t>
        </is>
      </c>
      <c r="T2310" s="3" t="inlineStr">
        <is>
          <t>급경사</t>
        </is>
      </c>
      <c r="U2310" s="3" t="inlineStr">
        <is>
          <t>부정형</t>
        </is>
      </c>
      <c r="V2310" s="3" t="inlineStr">
        <is>
          <t>맹지</t>
        </is>
      </c>
    </row>
    <row r="2311">
      <c r="A2311" s="3" t="inlineStr">
        <is>
          <t>장군면 금암리 119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266000</v>
      </c>
      <c r="G2311" s="4" t="n">
        <v>4407</v>
      </c>
      <c r="H2311" s="4" t="n">
        <v>1333</v>
      </c>
      <c r="I2311" s="5" t="n">
        <v>199.5</v>
      </c>
      <c r="J2311" s="5" t="n">
        <v>74.7</v>
      </c>
      <c r="K2311" s="3" t="inlineStr">
        <is>
          <t>진입로가 우수하며, 민원 걱정 없는 매물임.</t>
        </is>
      </c>
      <c r="L2311" s="6">
        <f>HYPERLINK("https://fin.land.naver.com/articles/2656233190", "매물Link")</f>
        <v/>
      </c>
      <c r="M2311" s="6">
        <f>HYPERLINK("https://map.naver.com/p/search/장군면 금암리 119", "지도Link")</f>
        <v/>
      </c>
      <c r="N2311" s="6">
        <f>HYPERLINK("http://www.eum.go.kr/web/ar/lu/luLandDet.jsp?pnu=3611035025101190000&amp;isNoScr=script&amp;mode=search", "토지이음")</f>
        <v/>
      </c>
      <c r="O2311" s="3" t="inlineStr">
        <is>
          <t>세종제일</t>
        </is>
      </c>
      <c r="P2311" s="4" t="n">
        <v>1</v>
      </c>
      <c r="Q2311" s="4" t="n">
        <v>1633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금암리 119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99000</v>
      </c>
      <c r="G2312" s="4" t="n">
        <v>1633</v>
      </c>
      <c r="H2312" s="4" t="n">
        <v>494</v>
      </c>
      <c r="I2312" s="5" t="n">
        <v>200.4</v>
      </c>
      <c r="J2312" s="5" t="n">
        <v>74.7</v>
      </c>
      <c r="K2312" s="3" t="inlineStr">
        <is>
          <t>도로접 위치 최상 투자 실사용 추천 본필지 외 2필지 총 3필지</t>
        </is>
      </c>
      <c r="L2312" s="6">
        <f>HYPERLINK("https://fin.land.naver.com/articles/2654757397", "매물Link")</f>
        <v/>
      </c>
      <c r="M2312" s="6">
        <f>HYPERLINK("https://map.naver.com/p/search/장군면 금암리 119", "지도Link")</f>
        <v/>
      </c>
      <c r="N2312" s="6">
        <f>HYPERLINK("http://www.eum.go.kr/web/ar/lu/luLandDet.jsp?pnu=3611035025101190000&amp;isNoScr=script&amp;mode=search", "토지이음")</f>
        <v/>
      </c>
      <c r="O2312" s="3" t="inlineStr">
        <is>
          <t>세종동인</t>
        </is>
      </c>
      <c r="P2312" s="4" t="n">
        <v>1</v>
      </c>
      <c r="Q2312" s="4" t="n">
        <v>1633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금암리 120</t>
        </is>
      </c>
      <c r="B2313" s="3" t="inlineStr">
        <is>
          <t>계획관리지역</t>
        </is>
      </c>
      <c r="C2313" s="3" t="inlineStr">
        <is>
          <t>전</t>
        </is>
      </c>
      <c r="D2313" s="3" t="inlineStr">
        <is>
          <t>전</t>
        </is>
      </c>
      <c r="E2313" s="3" t="inlineStr">
        <is>
          <t>매매</t>
        </is>
      </c>
      <c r="F2313" s="4" t="n">
        <v>266000</v>
      </c>
      <c r="G2313" s="4" t="n">
        <v>4407</v>
      </c>
      <c r="H2313" s="4" t="n">
        <v>1333</v>
      </c>
      <c r="I2313" s="5" t="n">
        <v>199.5</v>
      </c>
      <c r="J2313" s="5" t="n">
        <v>78.5</v>
      </c>
      <c r="K2313" s="3" t="inlineStr">
        <is>
          <t>금강조망, 접근성 및 향좋은 계획관리지역 토지매매</t>
        </is>
      </c>
      <c r="L2313" s="6">
        <f>HYPERLINK("https://fin.land.naver.com/articles/2655593198", "매물Link")</f>
        <v/>
      </c>
      <c r="M2313" s="6">
        <f>HYPERLINK("https://map.naver.com/p/search/장군면 금암리 120", "지도Link")</f>
        <v/>
      </c>
      <c r="N2313" s="6">
        <f>HYPERLINK("http://www.eum.go.kr/web/ar/lu/luLandDet.jsp?pnu=3611035025101200000&amp;isNoScr=script&amp;mode=search", "토지이음")</f>
        <v/>
      </c>
      <c r="O2313" s="3" t="inlineStr">
        <is>
          <t>금화랜드</t>
        </is>
      </c>
      <c r="P2313" s="4" t="n">
        <v>1</v>
      </c>
      <c r="Q2313" s="4" t="n">
        <v>1057</v>
      </c>
      <c r="R2313" s="3" t="inlineStr">
        <is>
          <t>지정되지않음</t>
        </is>
      </c>
      <c r="S2313" s="3" t="inlineStr">
        <is>
          <t>전</t>
        </is>
      </c>
      <c r="T2313" s="3" t="inlineStr">
        <is>
          <t>평지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금암리 132-45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142000</v>
      </c>
      <c r="G2314" s="4" t="n">
        <v>587</v>
      </c>
      <c r="H2314" s="4" t="n">
        <v>178</v>
      </c>
      <c r="I2314" s="5" t="n">
        <v>797.8</v>
      </c>
      <c r="J2314" s="5" t="n">
        <v>12.9</v>
      </c>
      <c r="K2314" s="3" t="inlineStr">
        <is>
          <t>금강의 물줄기를 바로 눈앞에서 즐길 수 있는 귀한 매물</t>
        </is>
      </c>
      <c r="L2314" s="6">
        <f>HYPERLINK("https://fin.land.naver.com/articles/2651702714", "매물Link")</f>
        <v/>
      </c>
      <c r="M2314" s="6">
        <f>HYPERLINK("https://map.naver.com/p/search/장군면 금암리 132-45", "지도Link")</f>
        <v/>
      </c>
      <c r="N2314" s="6">
        <f>HYPERLINK("http://www.eum.go.kr/web/ar/lu/luLandDet.jsp?pnu=3611035025101320045&amp;isNoScr=script&amp;mode=search", "토지이음")</f>
        <v/>
      </c>
      <c r="O2314" s="3" t="inlineStr">
        <is>
          <t>세종제일</t>
        </is>
      </c>
      <c r="P2314" s="4" t="n">
        <v>1</v>
      </c>
      <c r="Q2314" s="4" t="n">
        <v>587</v>
      </c>
      <c r="R2314" s="3" t="inlineStr">
        <is>
          <t>지정되지않음</t>
        </is>
      </c>
      <c r="S2314" s="3" t="inlineStr">
        <is>
          <t>자연림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중로한면</t>
        </is>
      </c>
    </row>
    <row r="2315">
      <c r="A2315" s="3" t="inlineStr">
        <is>
          <t>장군면 금암리 136-1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440000</v>
      </c>
      <c r="G2315" s="4" t="n">
        <v>4166</v>
      </c>
      <c r="H2315" s="4" t="n">
        <v>1260</v>
      </c>
      <c r="I2315" s="5" t="n">
        <v>349.2</v>
      </c>
      <c r="J2315" s="5" t="n">
        <v>131.9</v>
      </c>
      <c r="K2315" s="3" t="inlineStr">
        <is>
          <t>계획관리지역 접근성 및 주차장 넓은 근린생활시설용 건물매매</t>
        </is>
      </c>
      <c r="L2315" s="6">
        <f>HYPERLINK("https://fin.land.naver.com/articles/2654802750", "매물Link")</f>
        <v/>
      </c>
      <c r="M2315" s="6">
        <f>HYPERLINK("https://map.naver.com/p/search/장군면 금암리 136-1", "지도Link")</f>
        <v/>
      </c>
      <c r="N2315" s="6">
        <f>HYPERLINK("http://www.eum.go.kr/web/ar/lu/luLandDet.jsp?pnu=3611035025101360001&amp;isNoScr=script&amp;mode=search", "토지이음")</f>
        <v/>
      </c>
      <c r="O2315" s="3" t="inlineStr">
        <is>
          <t>금화랜드</t>
        </is>
      </c>
      <c r="P2315" s="4" t="n">
        <v>1</v>
      </c>
      <c r="Q2315" s="4" t="n">
        <v>1937</v>
      </c>
      <c r="R2315" s="3" t="inlineStr">
        <is>
          <t>지정되지않음</t>
        </is>
      </c>
      <c r="S2315" s="3" t="inlineStr">
        <is>
          <t>주상기타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소로한면</t>
        </is>
      </c>
    </row>
    <row r="2316">
      <c r="A2316" s="3" t="inlineStr">
        <is>
          <t>장군면 금암리 151-5</t>
        </is>
      </c>
      <c r="B2316" s="3" t="inlineStr">
        <is>
          <t>계획관리지역</t>
        </is>
      </c>
      <c r="C2316" s="3" t="inlineStr">
        <is>
          <t>목장용지</t>
        </is>
      </c>
      <c r="D2316" s="3" t="inlineStr">
        <is>
          <t>목장용지</t>
        </is>
      </c>
      <c r="E2316" s="3" t="inlineStr">
        <is>
          <t>매매</t>
        </is>
      </c>
      <c r="F2316" s="4" t="n">
        <v>25000</v>
      </c>
      <c r="G2316" s="4" t="n">
        <v>294</v>
      </c>
      <c r="H2316" s="4" t="n">
        <v>89</v>
      </c>
      <c r="I2316" s="5" t="n">
        <v>280.9</v>
      </c>
      <c r="J2316" s="5" t="n">
        <v>97.5</v>
      </c>
      <c r="K2316" s="3" t="inlineStr">
        <is>
          <t>계획관리지역, 도로지분포함 , 세종시10분이내 추천매매</t>
        </is>
      </c>
      <c r="L2316" s="6">
        <f>HYPERLINK("https://fin.land.naver.com/articles/2652095398", "매물Link")</f>
        <v/>
      </c>
      <c r="M2316" s="6">
        <f>HYPERLINK("https://map.naver.com/p/search/장군면 금암리 151-5", "지도Link")</f>
        <v/>
      </c>
      <c r="N2316" s="6">
        <f>HYPERLINK("http://www.eum.go.kr/web/ar/lu/luLandDet.jsp?pnu=3611035025101510005&amp;isNoScr=script&amp;mode=search", "토지이음")</f>
        <v/>
      </c>
      <c r="O2316" s="3" t="inlineStr">
        <is>
          <t>Home</t>
        </is>
      </c>
      <c r="P2316" s="4" t="n">
        <v>1</v>
      </c>
      <c r="Q2316" s="4" t="n">
        <v>294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금암리 231</t>
        </is>
      </c>
      <c r="B2317" s="3" t="inlineStr">
        <is>
          <t>계획관리지역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150000</v>
      </c>
      <c r="G2317" s="4" t="n">
        <v>4516</v>
      </c>
      <c r="H2317" s="4" t="n">
        <v>1366</v>
      </c>
      <c r="I2317" s="5" t="n">
        <v>109.8</v>
      </c>
      <c r="J2317" s="5" t="n">
        <v>71</v>
      </c>
      <c r="K2317" s="3" t="inlineStr">
        <is>
          <t>금액 조절 돼요 관심있으시면 전화주세요</t>
        </is>
      </c>
      <c r="L2317" s="6">
        <f>HYPERLINK("https://fin.land.naver.com/articles/2651502677", "매물Link")</f>
        <v/>
      </c>
      <c r="M2317" s="6">
        <f>HYPERLINK("https://map.naver.com/p/search/장군면 금암리 231", "지도Link")</f>
        <v/>
      </c>
      <c r="N2317" s="6">
        <f>HYPERLINK("http://www.eum.go.kr/web/ar/lu/luLandDet.jsp?pnu=3611035025102310000&amp;isNoScr=script&amp;mode=search", "토지이음")</f>
        <v/>
      </c>
      <c r="O2317" s="3" t="inlineStr">
        <is>
          <t>행복한푸르지오</t>
        </is>
      </c>
      <c r="P2317" s="4" t="n">
        <v>1</v>
      </c>
      <c r="Q2317" s="4" t="n">
        <v>1711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평지</t>
        </is>
      </c>
      <c r="U2317" s="3" t="inlineStr">
        <is>
          <t>사다리형</t>
        </is>
      </c>
      <c r="V2317" s="3" t="inlineStr">
        <is>
          <t>세로한면(불)</t>
        </is>
      </c>
    </row>
    <row r="2318">
      <c r="A2318" s="3" t="inlineStr">
        <is>
          <t>장군면 금암리 274-23</t>
        </is>
      </c>
      <c r="B2318" s="3" t="inlineStr">
        <is>
          <t>농림지역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270000</v>
      </c>
      <c r="G2318" s="4" t="n">
        <v>4628</v>
      </c>
      <c r="H2318" s="4" t="n">
        <v>1400</v>
      </c>
      <c r="I2318" s="5" t="n">
        <v>192.9</v>
      </c>
      <c r="J2318" s="5" t="n">
        <v>3.9</v>
      </c>
      <c r="K2318" s="3" t="inlineStr">
        <is>
          <t>세종시 공공시설복합단지 인근 최고의 조망을 자랑하는 임야</t>
        </is>
      </c>
      <c r="L2318" s="6">
        <f>HYPERLINK("https://fin.land.naver.com/articles/2656232517", "매물Link")</f>
        <v/>
      </c>
      <c r="M2318" s="6">
        <f>HYPERLINK("https://map.naver.com/p/search/장군면 금암리 274-23", "지도Link")</f>
        <v/>
      </c>
      <c r="N2318" s="6">
        <f>HYPERLINK("http://www.eum.go.kr/web/ar/lu/luLandDet.jsp?pnu=3611035025102740023&amp;isNoScr=script&amp;mode=search",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3977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부정형</t>
        </is>
      </c>
      <c r="V2318" s="3" t="inlineStr">
        <is>
          <t>맹지</t>
        </is>
      </c>
    </row>
    <row r="2319">
      <c r="A2319" s="3" t="inlineStr">
        <is>
          <t>장군면 금암리 274-29</t>
        </is>
      </c>
      <c r="B2319" s="3" t="inlineStr">
        <is>
          <t>보전관리지역</t>
        </is>
      </c>
      <c r="C2319" s="3" t="inlineStr">
        <is>
          <t>공장용지</t>
        </is>
      </c>
      <c r="D2319" s="3" t="inlineStr">
        <is>
          <t>공장용지</t>
        </is>
      </c>
      <c r="E2319" s="3" t="inlineStr">
        <is>
          <t>매매</t>
        </is>
      </c>
      <c r="F2319" s="4" t="n">
        <v>77300</v>
      </c>
      <c r="G2319" s="4" t="n">
        <v>639</v>
      </c>
      <c r="H2319" s="4" t="n">
        <v>193</v>
      </c>
      <c r="I2319" s="5" t="n">
        <v>400.5</v>
      </c>
      <c r="J2319" s="5" t="n">
        <v>56.7</v>
      </c>
      <c r="K2319" s="3" t="inlineStr">
        <is>
          <t>공공시설복합단지에 접.  정남향의 금강 조망 최고.</t>
        </is>
      </c>
      <c r="L2319" s="6">
        <f>HYPERLINK("https://fin.land.naver.com/articles/2653412851", "매물Link")</f>
        <v/>
      </c>
      <c r="M2319" s="6">
        <f>HYPERLINK("https://map.naver.com/p/search/장군면 금암리 274-29", "지도Link")</f>
        <v/>
      </c>
      <c r="N2319" s="6">
        <f>HYPERLINK("http://www.eum.go.kr/web/ar/lu/luLandDet.jsp?pnu=3611035025102740029&amp;isNoScr=script&amp;mode=search", "토지이음")</f>
        <v/>
      </c>
      <c r="O2319" s="3" t="inlineStr">
        <is>
          <t>세종제일</t>
        </is>
      </c>
      <c r="P2319" s="4" t="n">
        <v>1</v>
      </c>
      <c r="Q2319" s="4" t="n">
        <v>557</v>
      </c>
      <c r="R2319" s="3" t="inlineStr">
        <is>
          <t>지정되지않음</t>
        </is>
      </c>
      <c r="S2319" s="3" t="inlineStr">
        <is>
          <t>공업용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금암리 274-31</t>
        </is>
      </c>
      <c r="B2320" s="3" t="inlineStr">
        <is>
          <t>보전관리지역</t>
        </is>
      </c>
      <c r="C2320" s="3" t="inlineStr">
        <is>
          <t>공장용지</t>
        </is>
      </c>
      <c r="D2320" s="3" t="inlineStr">
        <is>
          <t>공장용지</t>
        </is>
      </c>
      <c r="E2320" s="3" t="inlineStr">
        <is>
          <t>매매</t>
        </is>
      </c>
      <c r="F2320" s="4" t="n">
        <v>170000</v>
      </c>
      <c r="G2320" s="4" t="n">
        <v>1138</v>
      </c>
      <c r="H2320" s="4" t="n">
        <v>344</v>
      </c>
      <c r="I2320" s="5" t="n">
        <v>494.2</v>
      </c>
      <c r="J2320" s="5" t="n">
        <v>56.7</v>
      </c>
      <c r="K2320" s="3" t="inlineStr">
        <is>
          <t>공공시설복합단지에 바로 접한 최고의 조망이 보장되는 자리</t>
        </is>
      </c>
      <c r="L2320" s="6">
        <f>HYPERLINK("https://fin.land.naver.com/articles/2654194319", "매물Link")</f>
        <v/>
      </c>
      <c r="M2320" s="6">
        <f>HYPERLINK("https://map.naver.com/p/search/장군면 금암리 274-31", "지도Link")</f>
        <v/>
      </c>
      <c r="N2320" s="6">
        <f>HYPERLINK("http://www.eum.go.kr/web/ar/lu/luLandDet.jsp?pnu=3611035025102740031&amp;isNoScr=script&amp;mode=search", "토지이음")</f>
        <v/>
      </c>
      <c r="O2320" s="3" t="inlineStr">
        <is>
          <t>세종제일</t>
        </is>
      </c>
      <c r="P2320" s="4" t="n">
        <v>1</v>
      </c>
      <c r="Q2320" s="4" t="n">
        <v>992</v>
      </c>
      <c r="R2320" s="3" t="inlineStr">
        <is>
          <t>지정되지않음</t>
        </is>
      </c>
      <c r="S2320" s="3" t="inlineStr">
        <is>
          <t>공업용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금암리 274-35</t>
        </is>
      </c>
      <c r="B2321" s="3" t="inlineStr">
        <is>
          <t>보전관리지역</t>
        </is>
      </c>
      <c r="C2321" s="3" t="inlineStr">
        <is>
          <t>공장용지</t>
        </is>
      </c>
      <c r="D2321" s="3" t="inlineStr">
        <is>
          <t>공장용지</t>
        </is>
      </c>
      <c r="E2321" s="3" t="inlineStr">
        <is>
          <t>매매</t>
        </is>
      </c>
      <c r="F2321" s="4" t="n">
        <v>82000</v>
      </c>
      <c r="G2321" s="4" t="n">
        <v>677</v>
      </c>
      <c r="H2321" s="4" t="n">
        <v>205</v>
      </c>
      <c r="I2321" s="5" t="n">
        <v>400</v>
      </c>
      <c r="J2321" s="5" t="n">
        <v>56.7</v>
      </c>
      <c r="K2321" s="3" t="inlineStr">
        <is>
          <t>공공시설복합단지 바로 인접.  약간 높은 지대로 금강 조망 좋음.</t>
        </is>
      </c>
      <c r="L2321" s="6">
        <f>HYPERLINK("https://fin.land.naver.com/articles/2656229637", "매물Link")</f>
        <v/>
      </c>
      <c r="M2321" s="6">
        <f>HYPERLINK("https://map.naver.com/p/search/장군면 금암리 274-35", "지도Link")</f>
        <v/>
      </c>
      <c r="N2321" s="6">
        <f>HYPERLINK("http://www.eum.go.kr/web/ar/lu/luLandDet.jsp?pnu=3611035025102740035&amp;isNoScr=script&amp;mode=search", "토지이음")</f>
        <v/>
      </c>
      <c r="O2321" s="3" t="inlineStr">
        <is>
          <t>세종제일</t>
        </is>
      </c>
      <c r="P2321" s="4" t="n">
        <v>1</v>
      </c>
      <c r="Q2321" s="4" t="n">
        <v>548</v>
      </c>
      <c r="R2321" s="3" t="inlineStr">
        <is>
          <t>지정되지않음</t>
        </is>
      </c>
      <c r="S2321" s="3" t="inlineStr">
        <is>
          <t>공업용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금암리 274-5</t>
        </is>
      </c>
      <c r="B2322" s="3" t="inlineStr">
        <is>
          <t>보전관리지역</t>
        </is>
      </c>
      <c r="C2322" s="3" t="inlineStr">
        <is>
          <t>공장용지</t>
        </is>
      </c>
      <c r="D2322" s="3" t="inlineStr">
        <is>
          <t>공장용지</t>
        </is>
      </c>
      <c r="E2322" s="3" t="inlineStr">
        <is>
          <t>매매</t>
        </is>
      </c>
      <c r="F2322" s="4" t="n">
        <v>86000</v>
      </c>
      <c r="G2322" s="4" t="n">
        <v>711</v>
      </c>
      <c r="H2322" s="4" t="n">
        <v>215</v>
      </c>
      <c r="I2322" s="5" t="n">
        <v>400</v>
      </c>
      <c r="J2322" s="5" t="n">
        <v>56.7</v>
      </c>
      <c r="K2322" s="3" t="inlineStr">
        <is>
          <t>공공시설복합단지에 접한 정남향 부지.</t>
        </is>
      </c>
      <c r="L2322" s="6">
        <f>HYPERLINK("https://fin.land.naver.com/articles/2653413633", "매물Link")</f>
        <v/>
      </c>
      <c r="M2322" s="6">
        <f>HYPERLINK("https://map.naver.com/p/search/장군면 금암리 274-5", "지도Link")</f>
        <v/>
      </c>
      <c r="N2322" s="6">
        <f>HYPERLINK("http://www.eum.go.kr/web/ar/lu/luLandDet.jsp?pnu=3611035025102740005&amp;isNoScr=script&amp;mode=search", "토지이음")</f>
        <v/>
      </c>
      <c r="O2322" s="3" t="inlineStr">
        <is>
          <t>세종제일</t>
        </is>
      </c>
      <c r="P2322" s="4" t="n">
        <v>1</v>
      </c>
      <c r="Q2322" s="4" t="n">
        <v>620</v>
      </c>
      <c r="R2322" s="3" t="inlineStr">
        <is>
          <t>지정되지않음</t>
        </is>
      </c>
      <c r="S2322" s="3" t="inlineStr">
        <is>
          <t>공업용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금암리 274-54</t>
        </is>
      </c>
      <c r="B2323" s="3" t="inlineStr">
        <is>
          <t>보전관리지역</t>
        </is>
      </c>
      <c r="C2323" s="3" t="inlineStr">
        <is>
          <t>공장용지</t>
        </is>
      </c>
      <c r="D2323" s="3" t="inlineStr">
        <is>
          <t>공장용지</t>
        </is>
      </c>
      <c r="E2323" s="3" t="inlineStr">
        <is>
          <t>매매</t>
        </is>
      </c>
      <c r="F2323" s="4" t="n">
        <v>940000</v>
      </c>
      <c r="G2323" s="4" t="n">
        <v>7768</v>
      </c>
      <c r="H2323" s="4" t="n">
        <v>2350</v>
      </c>
      <c r="I2323" s="5" t="n">
        <v>400</v>
      </c>
      <c r="J2323" s="5" t="n">
        <v>56.7</v>
      </c>
      <c r="K2323" s="3" t="inlineStr">
        <is>
          <t>금강, 산림박물관 등이 한눈에 내려다보이는 최고의 조망</t>
        </is>
      </c>
      <c r="L2323" s="6">
        <f>HYPERLINK("https://fin.land.naver.com/articles/2654194653", "매물Link")</f>
        <v/>
      </c>
      <c r="M2323" s="6">
        <f>HYPERLINK("https://map.naver.com/p/search/장군면 금암리 274-54", "지도Link")</f>
        <v/>
      </c>
      <c r="N2323" s="6">
        <f>HYPERLINK("http://www.eum.go.kr/web/ar/lu/luLandDet.jsp?pnu=3611035025102740054&amp;isNoScr=script&amp;mode=search", "토지이음")</f>
        <v/>
      </c>
      <c r="O2323" s="3" t="inlineStr">
        <is>
          <t>세종제일</t>
        </is>
      </c>
      <c r="P2323" s="4" t="n">
        <v>1</v>
      </c>
      <c r="Q2323" s="4" t="n">
        <v>629</v>
      </c>
      <c r="R2323" s="3" t="inlineStr">
        <is>
          <t>지정되지않음</t>
        </is>
      </c>
      <c r="S2323" s="3" t="inlineStr">
        <is>
          <t>공업용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금암리 275-2</t>
        </is>
      </c>
      <c r="B2324" s="3" t="inlineStr">
        <is>
          <t>생산관리지역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84000</v>
      </c>
      <c r="G2324" s="4" t="n">
        <v>659</v>
      </c>
      <c r="H2324" s="4" t="n">
        <v>199</v>
      </c>
      <c r="I2324" s="5" t="n">
        <v>422.1</v>
      </c>
      <c r="J2324" s="5" t="n">
        <v>63.7</v>
      </c>
      <c r="K2324" s="3" t="inlineStr">
        <is>
          <t>공공시설복합단지 도로에 바로 접한 근생 최적지</t>
        </is>
      </c>
      <c r="L2324" s="6">
        <f>HYPERLINK("https://fin.land.naver.com/articles/2653414213", "매물Link")</f>
        <v/>
      </c>
      <c r="M2324" s="6">
        <f>HYPERLINK("https://map.naver.com/p/search/장군면 금암리 275-2", "지도Link")</f>
        <v/>
      </c>
      <c r="N2324" s="6">
        <f>HYPERLINK("http://www.eum.go.kr/web/ar/lu/luLandDet.jsp?pnu=3611035025102750002&amp;isNoScr=script&amp;mode=search", "토지이음")</f>
        <v/>
      </c>
      <c r="O2324" s="3" t="inlineStr">
        <is>
          <t>세종제일</t>
        </is>
      </c>
      <c r="P2324" s="4" t="n">
        <v>1</v>
      </c>
      <c r="Q2324" s="4" t="n">
        <v>659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금암리 280</t>
        </is>
      </c>
      <c r="B2325" s="3" t="inlineStr">
        <is>
          <t>생산관리지역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470000</v>
      </c>
      <c r="G2325" s="4" t="n">
        <v>2810</v>
      </c>
      <c r="H2325" s="4" t="n">
        <v>850</v>
      </c>
      <c r="I2325" s="5" t="n">
        <v>552.9</v>
      </c>
      <c r="J2325" s="5" t="n">
        <v>59.7</v>
      </c>
      <c r="K2325" s="3" t="inlineStr">
        <is>
          <t>금강, 산림박물관, 공공시설복합단지가 한눈에 내려다 보이는 최고 조망</t>
        </is>
      </c>
      <c r="L2325" s="6">
        <f>HYPERLINK("https://fin.land.naver.com/articles/2656230032", "매물Link")</f>
        <v/>
      </c>
      <c r="M2325" s="6">
        <f>HYPERLINK("https://map.naver.com/p/search/장군면 금암리 280", "지도Link")</f>
        <v/>
      </c>
      <c r="N2325" s="6">
        <f>HYPERLINK("http://www.eum.go.kr/web/ar/lu/luLandDet.jsp?pnu=3611035025102800000&amp;isNoScr=script&amp;mode=search", "토지이음")</f>
        <v/>
      </c>
      <c r="O2325" s="3" t="inlineStr">
        <is>
          <t>세종제일</t>
        </is>
      </c>
      <c r="P2325" s="4" t="n">
        <v>1</v>
      </c>
      <c r="Q2325" s="4" t="n">
        <v>2674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세로한면(불)</t>
        </is>
      </c>
    </row>
    <row r="2326">
      <c r="A2326" s="3" t="inlineStr">
        <is>
          <t>장군면 금암리 281-15</t>
        </is>
      </c>
      <c r="B2326" s="3" t="inlineStr">
        <is>
          <t>보전관리지역</t>
        </is>
      </c>
      <c r="C2326" s="3" t="inlineStr">
        <is>
          <t>유원지</t>
        </is>
      </c>
      <c r="D2326" s="3" t="inlineStr">
        <is>
          <t>유원지</t>
        </is>
      </c>
      <c r="E2326" s="3" t="inlineStr">
        <is>
          <t>매매</t>
        </is>
      </c>
      <c r="F2326" s="4" t="n">
        <v>90415</v>
      </c>
      <c r="G2326" s="4" t="n">
        <v>1107</v>
      </c>
      <c r="H2326" s="4" t="n">
        <v>335</v>
      </c>
      <c r="I2326" s="5" t="n">
        <v>269.9</v>
      </c>
      <c r="J2326" s="5" t="n">
        <v>126.6</v>
      </c>
      <c r="K2326" s="3" t="inlineStr">
        <is>
          <t>급매, 334p, 불티교 인접, 건물 별도, 토지 통매</t>
        </is>
      </c>
      <c r="L2326" s="6">
        <f>HYPERLINK("https://fin.land.naver.com/articles/2652940384", "매물Link")</f>
        <v/>
      </c>
      <c r="M2326" s="6">
        <f>HYPERLINK("https://map.naver.com/p/search/장군면 금암리 281-15", "지도Link")</f>
        <v/>
      </c>
      <c r="N2326" s="6">
        <f>HYPERLINK("http://www.eum.go.kr/web/ar/lu/luLandDet.jsp?pnu=3611035025102810015&amp;isNoScr=script&amp;mode=search", "토지이음")</f>
        <v/>
      </c>
      <c r="O2326" s="3" t="inlineStr">
        <is>
          <t>지금힐스</t>
        </is>
      </c>
      <c r="P2326" s="4" t="n">
        <v>1</v>
      </c>
      <c r="Q2326" s="4" t="n">
        <v>420</v>
      </c>
      <c r="R2326" s="3" t="inlineStr">
        <is>
          <t>농림지역</t>
        </is>
      </c>
      <c r="S2326" s="3" t="inlineStr">
        <is>
          <t>업무용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소로각지</t>
        </is>
      </c>
    </row>
    <row r="2327">
      <c r="A2327" s="3" t="inlineStr">
        <is>
          <t>장군면 금암리 281-23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</v>
      </c>
      <c r="G2327" s="4" t="n">
        <v>332</v>
      </c>
      <c r="H2327" s="4" t="n">
        <v>100</v>
      </c>
      <c r="I2327" s="5" t="n">
        <v>250</v>
      </c>
      <c r="J2327" s="5" t="n">
        <v>63.6</v>
      </c>
      <c r="K2327" s="3" t="inlineStr">
        <is>
          <t>금강조망 가능한 근생부지</t>
        </is>
      </c>
      <c r="L2327" s="6">
        <f>HYPERLINK("https://fin.land.naver.com/articles/2653411911", "매물Link")</f>
        <v/>
      </c>
      <c r="M2327" s="6">
        <f>HYPERLINK("https://map.naver.com/p/search/장군면 금암리 281-23", "지도Link")</f>
        <v/>
      </c>
      <c r="N2327" s="6">
        <f>HYPERLINK("http://www.eum.go.kr/web/ar/lu/luLandDet.jsp?pnu=3611035025102810023&amp;isNoScr=script&amp;mode=search", "토지이음")</f>
        <v/>
      </c>
      <c r="O2327" s="3" t="inlineStr">
        <is>
          <t>세종제일</t>
        </is>
      </c>
      <c r="P2327" s="4" t="n">
        <v>1</v>
      </c>
      <c r="Q2327" s="4" t="n">
        <v>332</v>
      </c>
      <c r="R2327" s="3" t="inlineStr">
        <is>
          <t>지정되지않음</t>
        </is>
      </c>
      <c r="S2327" s="3" t="inlineStr">
        <is>
          <t>전기타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금암리 281-33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전</t>
        </is>
      </c>
      <c r="E2328" s="3" t="inlineStr">
        <is>
          <t>매매</t>
        </is>
      </c>
      <c r="F2328" s="4" t="n">
        <v>108700</v>
      </c>
      <c r="G2328" s="4" t="n">
        <v>654</v>
      </c>
      <c r="H2328" s="4" t="n">
        <v>198</v>
      </c>
      <c r="I2328" s="5" t="n">
        <v>549</v>
      </c>
      <c r="J2328" s="5" t="n">
        <v>116</v>
      </c>
      <c r="K2328" s="3" t="inlineStr">
        <is>
          <t>세종시 공공시설복합단지 정문 바로 앞</t>
        </is>
      </c>
      <c r="L2328" s="6">
        <f>HYPERLINK("https://fin.land.naver.com/articles/2651702680", "매물Link")</f>
        <v/>
      </c>
      <c r="M2328" s="6">
        <f>HYPERLINK("https://map.naver.com/p/search/장군면 금암리 281-33", "지도Link")</f>
        <v/>
      </c>
      <c r="N2328" s="6">
        <f>HYPERLINK("http://www.eum.go.kr/web/ar/lu/luLandDet.jsp?pnu=3611035025102810033&amp;isNoScr=script&amp;mode=search", "토지이음")</f>
        <v/>
      </c>
      <c r="O2328" s="3" t="inlineStr">
        <is>
          <t>세종제일</t>
        </is>
      </c>
      <c r="P2328" s="4" t="n">
        <v>1</v>
      </c>
      <c r="Q2328" s="4" t="n">
        <v>136</v>
      </c>
      <c r="R2328" s="3" t="inlineStr">
        <is>
          <t>농림지역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금암리 283-115</t>
        </is>
      </c>
      <c r="B2329" s="3" t="inlineStr">
        <is>
          <t>농림지역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11000</v>
      </c>
      <c r="G2329" s="4" t="n">
        <v>153</v>
      </c>
      <c r="H2329" s="4" t="n">
        <v>46</v>
      </c>
      <c r="I2329" s="5" t="n">
        <v>239.1</v>
      </c>
      <c r="J2329" s="5" t="n">
        <v>39.7</v>
      </c>
      <c r="K2329" s="3" t="inlineStr">
        <is>
          <t>nan</t>
        </is>
      </c>
      <c r="L2329" s="6">
        <f>HYPERLINK("https://fin.land.naver.com/articles/2654420087", "매물Link")</f>
        <v/>
      </c>
      <c r="M2329" s="6">
        <f>HYPERLINK("https://map.naver.com/p/search/장군면 금암리 283-115", "지도Link")</f>
        <v/>
      </c>
      <c r="N2329" s="6">
        <f>HYPERLINK("http://www.eum.go.kr/web/ar/lu/luLandDet.jsp?pnu=3611035025102830115&amp;isNoScr=script&amp;mode=search", "토지이음")</f>
        <v/>
      </c>
      <c r="O2329" s="3" t="inlineStr">
        <is>
          <t>그래그</t>
        </is>
      </c>
      <c r="P2329" s="4" t="n">
        <v>1</v>
      </c>
      <c r="Q2329" s="4" t="n">
        <v>153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소로한면</t>
        </is>
      </c>
    </row>
    <row r="2330">
      <c r="A2330" s="3" t="inlineStr">
        <is>
          <t>장군면 금암리 283-116</t>
        </is>
      </c>
      <c r="B2330" s="3" t="inlineStr">
        <is>
          <t>농림지역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4300</v>
      </c>
      <c r="G2330" s="4" t="n">
        <v>61</v>
      </c>
      <c r="H2330" s="4" t="n">
        <v>18</v>
      </c>
      <c r="I2330" s="5" t="n">
        <v>238.9</v>
      </c>
      <c r="J2330" s="5" t="n">
        <v>39.7</v>
      </c>
      <c r="K2330" s="3" t="inlineStr">
        <is>
          <t>nan</t>
        </is>
      </c>
      <c r="L2330" s="6">
        <f>HYPERLINK("https://fin.land.naver.com/articles/2654419667", "매물Link")</f>
        <v/>
      </c>
      <c r="M2330" s="6">
        <f>HYPERLINK("https://map.naver.com/p/search/장군면 금암리 283-116", "지도Link")</f>
        <v/>
      </c>
      <c r="N2330" s="6">
        <f>HYPERLINK("http://www.eum.go.kr/web/ar/lu/luLandDet.jsp?pnu=3611035025102830116&amp;isNoScr=script&amp;mode=search", "토지이음")</f>
        <v/>
      </c>
      <c r="O2330" s="3" t="inlineStr">
        <is>
          <t>그래그</t>
        </is>
      </c>
      <c r="P2330" s="4" t="n">
        <v>1</v>
      </c>
      <c r="Q2330" s="4" t="n">
        <v>61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소로한면</t>
        </is>
      </c>
    </row>
    <row r="2331">
      <c r="A2331" s="3" t="inlineStr">
        <is>
          <t>장군면 금암리 283-138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98000</v>
      </c>
      <c r="G2331" s="4" t="n">
        <v>737</v>
      </c>
      <c r="H2331" s="4" t="n">
        <v>223</v>
      </c>
      <c r="I2331" s="5" t="n">
        <v>439.5</v>
      </c>
      <c r="J2331" s="5" t="n">
        <v>184.3</v>
      </c>
      <c r="K2331" s="3" t="inlineStr">
        <is>
          <t>금암리 청벽마을에 있는 조망 좋은 계획관리지역의 신축 전원주택입니다</t>
        </is>
      </c>
      <c r="L2331" s="6">
        <f>HYPERLINK("https://fin.land.naver.com/articles/2651946238", "매물Link")</f>
        <v/>
      </c>
      <c r="M2331" s="6">
        <f>HYPERLINK("https://map.naver.com/p/search/장군면 금암리 283-138", "지도Link")</f>
        <v/>
      </c>
      <c r="N2331" s="6">
        <f>HYPERLINK("http://www.eum.go.kr/web/ar/lu/luLandDet.jsp?pnu=3611035025102830138&amp;isNoScr=script&amp;mode=search", "토지이음")</f>
        <v/>
      </c>
      <c r="O2331" s="3" t="inlineStr">
        <is>
          <t>스마일세종</t>
        </is>
      </c>
      <c r="P2331" s="4" t="n">
        <v>1</v>
      </c>
      <c r="Q2331" s="4" t="n">
        <v>737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금암리 283-154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42000</v>
      </c>
      <c r="G2332" s="4" t="n">
        <v>737</v>
      </c>
      <c r="H2332" s="4" t="n">
        <v>223</v>
      </c>
      <c r="I2332" s="5" t="n">
        <v>188.3</v>
      </c>
      <c r="J2332" s="5" t="n">
        <v>184.3</v>
      </c>
      <c r="K2332" s="3" t="inlineStr">
        <is>
          <t>첫마을에서 들어오는 금강의 물줄기가 한눈에 보이는 최고의 조망</t>
        </is>
      </c>
      <c r="L2332" s="6">
        <f>HYPERLINK("https://fin.land.naver.com/articles/2653412659", "매물Link")</f>
        <v/>
      </c>
      <c r="M2332" s="6">
        <f>HYPERLINK("https://map.naver.com/p/search/장군면 금암리 283-154", "지도Link")</f>
        <v/>
      </c>
      <c r="N2332" s="6">
        <f>HYPERLINK("http://www.eum.go.kr/web/ar/lu/luLandDet.jsp?pnu=3611035025102830154&amp;isNoScr=script&amp;mode=search", "토지이음")</f>
        <v/>
      </c>
      <c r="O2332" s="3" t="inlineStr">
        <is>
          <t>세종제일</t>
        </is>
      </c>
      <c r="P2332" s="4" t="n">
        <v>1</v>
      </c>
      <c r="Q2332" s="4" t="n">
        <v>710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가로장방</t>
        </is>
      </c>
      <c r="V2332" s="3" t="inlineStr">
        <is>
          <t>세로한면(가)</t>
        </is>
      </c>
    </row>
    <row r="2333">
      <c r="A2333" s="3" t="inlineStr">
        <is>
          <t>장군면 금암리 283-18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43000</v>
      </c>
      <c r="G2333" s="4" t="n">
        <v>612</v>
      </c>
      <c r="H2333" s="4" t="n">
        <v>185</v>
      </c>
      <c r="I2333" s="5" t="n">
        <v>232.4</v>
      </c>
      <c r="J2333" s="5" t="n">
        <v>140</v>
      </c>
      <c r="K2333" s="3" t="inlineStr">
        <is>
          <t>nan</t>
        </is>
      </c>
      <c r="L2333" s="6">
        <f>HYPERLINK("https://fin.land.naver.com/articles/2654419973", "매물Link")</f>
        <v/>
      </c>
      <c r="M2333" s="6">
        <f>HYPERLINK("https://map.naver.com/p/search/장군면 금암리 283-18", "지도Link")</f>
        <v/>
      </c>
      <c r="N2333" s="6">
        <f>HYPERLINK("http://www.eum.go.kr/web/ar/lu/luLandDet.jsp?pnu=3611035025102830018&amp;isNoScr=script&amp;mode=search", "토지이음")</f>
        <v/>
      </c>
      <c r="O2333" s="3" t="inlineStr">
        <is>
          <t>그래그</t>
        </is>
      </c>
      <c r="P2333" s="4" t="n">
        <v>1</v>
      </c>
      <c r="Q2333" s="4" t="n">
        <v>612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금암리 283-18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58000</v>
      </c>
      <c r="G2334" s="4" t="n">
        <v>826</v>
      </c>
      <c r="H2334" s="4" t="n">
        <v>250</v>
      </c>
      <c r="I2334" s="5" t="n">
        <v>232</v>
      </c>
      <c r="J2334" s="5" t="n">
        <v>140</v>
      </c>
      <c r="K2334" s="3" t="inlineStr">
        <is>
          <t>금강이 내려다보이는 안정적인 조망</t>
        </is>
      </c>
      <c r="L2334" s="6">
        <f>HYPERLINK("https://fin.land.naver.com/articles/2653412485", "매물Link")</f>
        <v/>
      </c>
      <c r="M2334" s="6">
        <f>HYPERLINK("https://map.naver.com/p/search/장군면 금암리 283-18", "지도Link")</f>
        <v/>
      </c>
      <c r="N2334" s="6">
        <f>HYPERLINK("http://www.eum.go.kr/web/ar/lu/luLandDet.jsp?pnu=3611035025102830018&amp;isNoScr=script&amp;mode=search", "토지이음")</f>
        <v/>
      </c>
      <c r="O2334" s="3" t="inlineStr">
        <is>
          <t>세종제일</t>
        </is>
      </c>
      <c r="P2334" s="4" t="n">
        <v>1</v>
      </c>
      <c r="Q2334" s="4" t="n">
        <v>612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금암리 283-5</t>
        </is>
      </c>
      <c r="B2335" s="3" t="inlineStr">
        <is>
          <t>생산관리지역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43000</v>
      </c>
      <c r="G2335" s="4" t="n">
        <v>512</v>
      </c>
      <c r="H2335" s="4" t="n">
        <v>155</v>
      </c>
      <c r="I2335" s="5" t="n">
        <v>277.4</v>
      </c>
      <c r="J2335" s="5" t="n">
        <v>58</v>
      </c>
      <c r="K2335" s="3" t="inlineStr">
        <is>
          <t>공공시설복합단지에 가깝고, 금강 조망 가능함.</t>
        </is>
      </c>
      <c r="L2335" s="6">
        <f>HYPERLINK("https://fin.land.naver.com/articles/2653412271", "매물Link")</f>
        <v/>
      </c>
      <c r="M2335" s="6">
        <f>HYPERLINK("https://map.naver.com/p/search/장군면 금암리 283-5", "지도Link")</f>
        <v/>
      </c>
      <c r="N2335" s="6">
        <f>HYPERLINK("http://www.eum.go.kr/web/ar/lu/luLandDet.jsp?pnu=3611035025102830005&amp;isNoScr=script&amp;mode=search", "토지이음")</f>
        <v/>
      </c>
      <c r="O2335" s="3" t="inlineStr">
        <is>
          <t>세종제일</t>
        </is>
      </c>
      <c r="P2335" s="4" t="n">
        <v>1</v>
      </c>
      <c r="Q2335" s="4" t="n">
        <v>512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세로한면(불)</t>
        </is>
      </c>
    </row>
    <row r="2336">
      <c r="A2336" s="3" t="inlineStr">
        <is>
          <t>장군면 금암리 288</t>
        </is>
      </c>
      <c r="B2336" s="3" t="inlineStr">
        <is>
          <t>생산관리지역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814500</v>
      </c>
      <c r="G2336" s="4" t="n">
        <v>1496</v>
      </c>
      <c r="H2336" s="4" t="n">
        <v>453</v>
      </c>
      <c r="I2336" s="5" t="n">
        <v>1798</v>
      </c>
      <c r="J2336" s="5" t="n">
        <v>188.8</v>
      </c>
      <c r="K2336" s="3" t="inlineStr">
        <is>
          <t>세종시 공공시설복합단지 정문 앞</t>
        </is>
      </c>
      <c r="L2336" s="6">
        <f>HYPERLINK("https://fin.land.naver.com/articles/2655617302", "매물Link")</f>
        <v/>
      </c>
      <c r="M2336" s="6">
        <f>HYPERLINK("https://map.naver.com/p/search/장군면 금암리 288", "지도Link")</f>
        <v/>
      </c>
      <c r="N2336" s="6">
        <f>HYPERLINK("http://www.eum.go.kr/web/ar/lu/luLandDet.jsp?pnu=3611035025102880000&amp;isNoScr=script&amp;mode=search", "토지이음")</f>
        <v/>
      </c>
      <c r="O2336" s="3" t="inlineStr">
        <is>
          <t>세종제일</t>
        </is>
      </c>
      <c r="P2336" s="4" t="n">
        <v>1</v>
      </c>
      <c r="Q2336" s="4" t="n">
        <v>1000</v>
      </c>
      <c r="R2336" s="3" t="inlineStr">
        <is>
          <t>지정되지않음</t>
        </is>
      </c>
      <c r="S2336" s="3" t="inlineStr">
        <is>
          <t>상업용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소로한면</t>
        </is>
      </c>
    </row>
    <row r="2337">
      <c r="A2337" s="3" t="inlineStr">
        <is>
          <t>장군면 금암리 288-2</t>
        </is>
      </c>
      <c r="B2337" s="3" t="inlineStr">
        <is>
          <t>생산관리지역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320000</v>
      </c>
      <c r="G2337" s="4" t="n">
        <v>1515</v>
      </c>
      <c r="H2337" s="4" t="n">
        <v>458</v>
      </c>
      <c r="I2337" s="5" t="n">
        <v>698.7</v>
      </c>
      <c r="J2337" s="5" t="n">
        <v>74</v>
      </c>
      <c r="K2337" s="3" t="inlineStr">
        <is>
          <t>세종시 공공시설복합단지 정문 바로 앞</t>
        </is>
      </c>
      <c r="L2337" s="6">
        <f>HYPERLINK("https://fin.land.naver.com/articles/2656230439", "매물Link")</f>
        <v/>
      </c>
      <c r="M2337" s="6">
        <f>HYPERLINK("https://map.naver.com/p/search/장군면 금암리 288-2", "지도Link")</f>
        <v/>
      </c>
      <c r="N2337" s="6">
        <f>HYPERLINK("http://www.eum.go.kr/web/ar/lu/luLandDet.jsp?pnu=3611035025102880002&amp;isNoScr=script&amp;mode=search", "토지이음")</f>
        <v/>
      </c>
      <c r="O2337" s="3" t="inlineStr">
        <is>
          <t>세종제일</t>
        </is>
      </c>
      <c r="P2337" s="4" t="n">
        <v>1</v>
      </c>
      <c r="Q2337" s="4" t="n">
        <v>1460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세로한면(불)</t>
        </is>
      </c>
    </row>
    <row r="2338">
      <c r="A2338" s="3" t="inlineStr">
        <is>
          <t>장군면 금암리 300-13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236800</v>
      </c>
      <c r="G2338" s="4" t="n">
        <v>980</v>
      </c>
      <c r="H2338" s="4" t="n">
        <v>296</v>
      </c>
      <c r="I2338" s="5" t="n">
        <v>800</v>
      </c>
      <c r="J2338" s="5" t="n">
        <v>188.1</v>
      </c>
      <c r="K2338" s="3" t="inlineStr">
        <is>
          <t>금강뷰 대로변 앞 위치좋은 농협교육원 바로옆 카페 식당 근생 건축</t>
        </is>
      </c>
      <c r="L2338" s="6">
        <f>HYPERLINK("https://fin.land.naver.com/articles/2656204974", "매물Link")</f>
        <v/>
      </c>
      <c r="M2338" s="6">
        <f>HYPERLINK("https://map.naver.com/p/search/장군면 금암리 300-13", "지도Link")</f>
        <v/>
      </c>
      <c r="N2338" s="6">
        <f>HYPERLINK("http://www.eum.go.kr/web/ar/lu/luLandDet.jsp?pnu=3611035025103000013&amp;isNoScr=script&amp;mode=search", "토지이음")</f>
        <v/>
      </c>
      <c r="O2338" s="3" t="inlineStr">
        <is>
          <t>나침반</t>
        </is>
      </c>
      <c r="P2338" s="4" t="n">
        <v>1</v>
      </c>
      <c r="Q2338" s="4" t="n">
        <v>737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금암리 300-2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90000</v>
      </c>
      <c r="G2339" s="4" t="n">
        <v>847</v>
      </c>
      <c r="H2339" s="4" t="n">
        <v>256</v>
      </c>
      <c r="I2339" s="5" t="n">
        <v>351.6</v>
      </c>
      <c r="J2339" s="5" t="n">
        <v>50.7</v>
      </c>
      <c r="K2339" s="3" t="inlineStr">
        <is>
          <t>공공시설복합단지 인접.  금강 조망</t>
        </is>
      </c>
      <c r="L2339" s="6">
        <f>HYPERLINK("https://fin.land.naver.com/articles/2653413995", "매물Link")</f>
        <v/>
      </c>
      <c r="M2339" s="6">
        <f>HYPERLINK("https://map.naver.com/p/search/장군면 금암리 300-2", "지도Link")</f>
        <v/>
      </c>
      <c r="N2339" s="6">
        <f>HYPERLINK("http://www.eum.go.kr/web/ar/lu/luLandDet.jsp?pnu=3611035025103000002&amp;isNoScr=script&amp;mode=search", "토지이음")</f>
        <v/>
      </c>
      <c r="O2339" s="3" t="inlineStr">
        <is>
          <t>세종제일</t>
        </is>
      </c>
      <c r="P2339" s="4" t="n">
        <v>1</v>
      </c>
      <c r="Q2339" s="4" t="n">
        <v>847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소로한면</t>
        </is>
      </c>
    </row>
    <row r="2340">
      <c r="A2340" s="3" t="inlineStr">
        <is>
          <t>장군면 금암리 300-23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80000</v>
      </c>
      <c r="G2340" s="4" t="n">
        <v>737</v>
      </c>
      <c r="H2340" s="4" t="n">
        <v>223</v>
      </c>
      <c r="I2340" s="5" t="n">
        <v>358.7</v>
      </c>
      <c r="J2340" s="5" t="n">
        <v>184.3</v>
      </c>
      <c r="K2340" s="3" t="inlineStr">
        <is>
          <t>세종시에서 금강이 내려다 보이는 단독주택단지 내 위치</t>
        </is>
      </c>
      <c r="L2340" s="6">
        <f>HYPERLINK("https://fin.land.naver.com/articles/2653526965", "매물Link")</f>
        <v/>
      </c>
      <c r="M2340" s="6">
        <f>HYPERLINK("https://map.naver.com/p/search/장군면 금암리 300-23", "지도Link")</f>
        <v/>
      </c>
      <c r="N2340" s="6">
        <f>HYPERLINK("http://www.eum.go.kr/web/ar/lu/luLandDet.jsp?pnu=3611035025103000023&amp;isNoScr=script&amp;mode=search", "토지이음")</f>
        <v/>
      </c>
      <c r="O2340" s="3" t="inlineStr">
        <is>
          <t>정직한한국</t>
        </is>
      </c>
      <c r="P2340" s="4" t="n">
        <v>1</v>
      </c>
      <c r="Q2340" s="4" t="n">
        <v>737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완경사</t>
        </is>
      </c>
      <c r="U2340" s="3" t="inlineStr">
        <is>
          <t>가로장방</t>
        </is>
      </c>
      <c r="V2340" s="3" t="inlineStr">
        <is>
          <t>세로한면(가)</t>
        </is>
      </c>
    </row>
    <row r="2341">
      <c r="A2341" s="3" t="inlineStr">
        <is>
          <t>장군면 금암리 302-15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72000</v>
      </c>
      <c r="G2341" s="4" t="n">
        <v>603</v>
      </c>
      <c r="H2341" s="4" t="n">
        <v>182</v>
      </c>
      <c r="I2341" s="5" t="n">
        <v>395.6</v>
      </c>
      <c r="J2341" s="5" t="n">
        <v>196.4</v>
      </c>
      <c r="K2341" s="3" t="inlineStr">
        <is>
          <t>금강뷰 대로변 전원 주택지 매매 추천</t>
        </is>
      </c>
      <c r="L2341" s="6">
        <f>HYPERLINK("https://fin.land.naver.com/articles/2654772609", "매물Link")</f>
        <v/>
      </c>
      <c r="M2341" s="6">
        <f>HYPERLINK("https://map.naver.com/p/search/장군면 금암리 302-15", "지도Link")</f>
        <v/>
      </c>
      <c r="N2341" s="6">
        <f>HYPERLINK("http://www.eum.go.kr/web/ar/lu/luLandDet.jsp?pnu=3611035025103020015&amp;isNoScr=script&amp;mode=search", "토지이음")</f>
        <v/>
      </c>
      <c r="O2341" s="3" t="inlineStr">
        <is>
          <t>광장(프라자)</t>
        </is>
      </c>
      <c r="P2341" s="4" t="n">
        <v>1</v>
      </c>
      <c r="Q2341" s="4" t="n">
        <v>603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금암리 302-16</t>
        </is>
      </c>
      <c r="B2342" s="3" t="inlineStr">
        <is>
          <t>계획관리지역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68000</v>
      </c>
      <c r="G2342" s="4" t="n">
        <v>599</v>
      </c>
      <c r="H2342" s="4" t="n">
        <v>181</v>
      </c>
      <c r="I2342" s="5" t="n">
        <v>375.7</v>
      </c>
      <c r="J2342" s="5" t="n">
        <v>202.6</v>
      </c>
      <c r="K2342" s="3" t="inlineStr">
        <is>
          <t>불티교 앞 전원마을에 위치한 택지, 계획관리, 자연취락지구</t>
        </is>
      </c>
      <c r="L2342" s="6">
        <f>HYPERLINK("https://fin.land.naver.com/articles/2655389459", "매물Link")</f>
        <v/>
      </c>
      <c r="M2342" s="6">
        <f>HYPERLINK("https://map.naver.com/p/search/장군면 금암리 302-16", "지도Link")</f>
        <v/>
      </c>
      <c r="N2342" s="6">
        <f>HYPERLINK("http://www.eum.go.kr/web/ar/lu/luLandDet.jsp?pnu=3611035025103020016&amp;isNoScr=script&amp;mode=search", "토지이음")</f>
        <v/>
      </c>
      <c r="O2342" s="3" t="inlineStr">
        <is>
          <t>the다올</t>
        </is>
      </c>
      <c r="P2342" s="4" t="n">
        <v>1</v>
      </c>
      <c r="Q2342" s="4" t="n">
        <v>599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금암리 302-52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95000</v>
      </c>
      <c r="G2343" s="4" t="n">
        <v>710</v>
      </c>
      <c r="H2343" s="4" t="n">
        <v>215</v>
      </c>
      <c r="I2343" s="5" t="n">
        <v>441.9</v>
      </c>
      <c r="J2343" s="5" t="n">
        <v>200.6</v>
      </c>
      <c r="K2343" s="3" t="inlineStr">
        <is>
          <t>전망좋은 전원주택 단지 배산임수</t>
        </is>
      </c>
      <c r="L2343" s="6">
        <f>HYPERLINK("https://fin.land.naver.com/articles/2656082346", "매물Link")</f>
        <v/>
      </c>
      <c r="M2343" s="6">
        <f>HYPERLINK("https://map.naver.com/p/search/장군면 금암리 302-52", "지도Link")</f>
        <v/>
      </c>
      <c r="N2343" s="6">
        <f>HYPERLINK("http://www.eum.go.kr/web/ar/lu/luLandDet.jsp?pnu=3611035025103020052&amp;isNoScr=script&amp;mode=search", "토지이음")</f>
        <v/>
      </c>
      <c r="O2343" s="3" t="inlineStr">
        <is>
          <t>나릿재OK</t>
        </is>
      </c>
      <c r="P2343" s="4" t="n">
        <v>1</v>
      </c>
      <c r="Q2343" s="4" t="n">
        <v>710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금암리 314-113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436</v>
      </c>
      <c r="H2344" s="4" t="n">
        <v>132</v>
      </c>
      <c r="I2344" s="5" t="n">
        <v>340.9</v>
      </c>
      <c r="J2344" s="5" t="n">
        <v>200.6</v>
      </c>
      <c r="K2344" s="3" t="inlineStr">
        <is>
          <t>급매,청벽마을 단독전원주택지, 청벽의 절경과 금강 뷰가 좋은 전원주택지</t>
        </is>
      </c>
      <c r="L2344" s="6">
        <f>HYPERLINK("https://fin.land.naver.com/articles/2653861102", "매물Link")</f>
        <v/>
      </c>
      <c r="M2344" s="6">
        <f>HYPERLINK("https://map.naver.com/p/search/장군면 금암리 314-113", "지도Link")</f>
        <v/>
      </c>
      <c r="N2344" s="6">
        <f>HYPERLINK("http://www.eum.go.kr/web/ar/lu/luLandDet.jsp?pnu=3611035025103140113&amp;isNoScr=script&amp;mode=search", "토지이음")</f>
        <v/>
      </c>
      <c r="O2344" s="3" t="inlineStr">
        <is>
          <t>고운맘</t>
        </is>
      </c>
      <c r="P2344" s="4" t="n">
        <v>1</v>
      </c>
      <c r="Q2344" s="4" t="n">
        <v>436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금암리 314-59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75000</v>
      </c>
      <c r="G2345" s="4" t="n">
        <v>531</v>
      </c>
      <c r="H2345" s="4" t="n">
        <v>161</v>
      </c>
      <c r="I2345" s="5" t="n">
        <v>465.8</v>
      </c>
      <c r="J2345" s="5" t="n">
        <v>200.6</v>
      </c>
      <c r="K2345" s="3" t="inlineStr">
        <is>
          <t>세종시에서 금강이 내려다 보이는 전원주택단지에 위치한 2층 단독주택</t>
        </is>
      </c>
      <c r="L2345" s="6">
        <f>HYPERLINK("https://fin.land.naver.com/articles/2653527111", "매물Link")</f>
        <v/>
      </c>
      <c r="M2345" s="6">
        <f>HYPERLINK("https://map.naver.com/p/search/장군면 금암리 314-59", "지도Link")</f>
        <v/>
      </c>
      <c r="N2345" s="6">
        <f>HYPERLINK("http://www.eum.go.kr/web/ar/lu/luLandDet.jsp?pnu=3611035025103140059&amp;isNoScr=script&amp;mode=search", "토지이음")</f>
        <v/>
      </c>
      <c r="O2345" s="3" t="inlineStr">
        <is>
          <t>정직한한국</t>
        </is>
      </c>
      <c r="P2345" s="4" t="n">
        <v>1</v>
      </c>
      <c r="Q2345" s="4" t="n">
        <v>531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금암리 314-64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56000</v>
      </c>
      <c r="G2346" s="4" t="n">
        <v>525</v>
      </c>
      <c r="H2346" s="4" t="n">
        <v>159</v>
      </c>
      <c r="I2346" s="5" t="n">
        <v>352.2</v>
      </c>
      <c r="J2346" s="5" t="n">
        <v>204.6</v>
      </c>
      <c r="K2346" s="3" t="inlineStr">
        <is>
          <t>금암리 전원마을 모양좋은 전원주택지, 전망좋아요</t>
        </is>
      </c>
      <c r="L2346" s="6">
        <f>HYPERLINK("https://fin.land.naver.com/articles/2651561536", "매물Link")</f>
        <v/>
      </c>
      <c r="M2346" s="6">
        <f>HYPERLINK("https://map.naver.com/p/search/장군면 금암리 314-64", "지도Link")</f>
        <v/>
      </c>
      <c r="N2346" s="6">
        <f>HYPERLINK("http://www.eum.go.kr/web/ar/lu/luLandDet.jsp?pnu=3611035025103140064&amp;isNoScr=script&amp;mode=search", "토지이음")</f>
        <v/>
      </c>
      <c r="O2346" s="3" t="inlineStr">
        <is>
          <t>부엉이</t>
        </is>
      </c>
      <c r="P2346" s="4" t="n">
        <v>1</v>
      </c>
      <c r="Q2346" s="4" t="n">
        <v>525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세로각지(가)</t>
        </is>
      </c>
    </row>
    <row r="2347">
      <c r="A2347" s="3" t="inlineStr">
        <is>
          <t>장군면 금암리 331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550000</v>
      </c>
      <c r="G2347" s="4" t="n">
        <v>3203</v>
      </c>
      <c r="H2347" s="4" t="n">
        <v>969</v>
      </c>
      <c r="I2347" s="5" t="n">
        <v>567.6</v>
      </c>
      <c r="J2347" s="5" t="n">
        <v>90</v>
      </c>
      <c r="K2347" s="3" t="inlineStr">
        <is>
          <t>세종시 장군면 금암리 대형평수 위치 좋은 계획관리 토지</t>
        </is>
      </c>
      <c r="L2347" s="6">
        <f>HYPERLINK("https://fin.land.naver.com/articles/2653813158", "매물Link")</f>
        <v/>
      </c>
      <c r="M2347" s="6">
        <f>HYPERLINK("https://map.naver.com/p/search/장군면 금암리 331", "지도Link")</f>
        <v/>
      </c>
      <c r="N2347" s="6">
        <f>HYPERLINK("http://www.eum.go.kr/web/ar/lu/luLandDet.jsp?pnu=3611035025103310000&amp;isNoScr=script&amp;mode=search", "토지이음")</f>
        <v/>
      </c>
      <c r="O2347" s="3" t="inlineStr">
        <is>
          <t>뉴스카이</t>
        </is>
      </c>
      <c r="P2347" s="4" t="n">
        <v>1</v>
      </c>
      <c r="Q2347" s="4" t="n">
        <v>1233</v>
      </c>
      <c r="R2347" s="3" t="inlineStr">
        <is>
          <t>지정되지않음</t>
        </is>
      </c>
      <c r="S2347" s="3" t="inlineStr">
        <is>
          <t>전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세로한면(가)</t>
        </is>
      </c>
    </row>
    <row r="2348">
      <c r="A2348" s="3" t="inlineStr">
        <is>
          <t>장군면 금암리 367-26</t>
        </is>
      </c>
      <c r="B2348" s="3" t="inlineStr">
        <is>
          <t>생산관리지역</t>
        </is>
      </c>
      <c r="C2348" s="3" t="inlineStr">
        <is>
          <t>임야</t>
        </is>
      </c>
      <c r="D2348" s="3" t="inlineStr">
        <is>
          <t>대</t>
        </is>
      </c>
      <c r="E2348" s="3" t="inlineStr">
        <is>
          <t>매매</t>
        </is>
      </c>
      <c r="F2348" s="4" t="n">
        <v>48000</v>
      </c>
      <c r="G2348" s="4" t="n">
        <v>556</v>
      </c>
      <c r="H2348" s="4" t="n">
        <v>168</v>
      </c>
      <c r="I2348" s="5" t="n">
        <v>285.7</v>
      </c>
      <c r="J2348" s="5" t="n">
        <v>168.2</v>
      </c>
      <c r="K2348" s="3" t="inlineStr">
        <is>
          <t>벙커 주차장을 만들수 있는 대지, 뷰가 나오는 택지입니다. 전화주셔요</t>
        </is>
      </c>
      <c r="L2348" s="6">
        <f>HYPERLINK("https://fin.land.naver.com/articles/2655687744", "매물Link")</f>
        <v/>
      </c>
      <c r="M2348" s="6">
        <f>HYPERLINK("https://map.naver.com/p/search/장군면 금암리 367-26", "지도Link")</f>
        <v/>
      </c>
      <c r="N2348" s="6">
        <f>HYPERLINK("http://www.eum.go.kr/web/ar/lu/luLandDet.jsp?pnu=3611035025103670026&amp;isNoScr=script&amp;mode=search", "토지이음")</f>
        <v/>
      </c>
      <c r="O2348" s="3" t="inlineStr">
        <is>
          <t>최무연</t>
        </is>
      </c>
      <c r="P2348" s="4" t="n">
        <v>1</v>
      </c>
      <c r="Q2348" s="4" t="n">
        <v>500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금암리 367-3</t>
        </is>
      </c>
      <c r="B2349" s="3" t="inlineStr">
        <is>
          <t>생산관리지역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57000</v>
      </c>
      <c r="G2349" s="4" t="n">
        <v>764</v>
      </c>
      <c r="H2349" s="4" t="n">
        <v>231</v>
      </c>
      <c r="I2349" s="5" t="n">
        <v>246.8</v>
      </c>
      <c r="J2349" s="5" t="n">
        <v>34.7</v>
      </c>
      <c r="K2349" s="3" t="inlineStr">
        <is>
          <t>금암리 전원 마을, 금강 조망권 좋은 토지, 배산임수 , 투자 적합,</t>
        </is>
      </c>
      <c r="L2349" s="6">
        <f>HYPERLINK("https://fin.land.naver.com/articles/2654093543", "매물Link")</f>
        <v/>
      </c>
      <c r="M2349" s="6">
        <f>HYPERLINK("https://map.naver.com/p/search/장군면 금암리 367-3", "지도Link")</f>
        <v/>
      </c>
      <c r="N2349" s="6">
        <f>HYPERLINK("http://www.eum.go.kr/web/ar/lu/luLandDet.jsp?pnu=3611035025103670003&amp;isNoScr=script&amp;mode=search", "토지이음")</f>
        <v/>
      </c>
      <c r="O2349" s="3" t="inlineStr">
        <is>
          <t>세종</t>
        </is>
      </c>
      <c r="P2349" s="4" t="n">
        <v>1</v>
      </c>
      <c r="Q2349" s="4" t="n">
        <v>764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세로한면(불)</t>
        </is>
      </c>
    </row>
    <row r="2350">
      <c r="A2350" s="3" t="inlineStr">
        <is>
          <t>장군면 금암리 378-28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60000</v>
      </c>
      <c r="G2350" s="4" t="n">
        <v>628</v>
      </c>
      <c r="H2350" s="4" t="n">
        <v>190</v>
      </c>
      <c r="I2350" s="5" t="n">
        <v>315.8</v>
      </c>
      <c r="J2350" s="5" t="n">
        <v>223.6</v>
      </c>
      <c r="K2350" s="3" t="inlineStr">
        <is>
          <t>계획관리지역, 전원주택지, 도로연접, 세종시15분이내</t>
        </is>
      </c>
      <c r="L2350" s="6">
        <f>HYPERLINK("https://fin.land.naver.com/articles/2651951147", "매물Link")</f>
        <v/>
      </c>
      <c r="M2350" s="6">
        <f>HYPERLINK("https://map.naver.com/p/search/장군면 금암리 378-28", "지도Link")</f>
        <v/>
      </c>
      <c r="N2350" s="6">
        <f>HYPERLINK("http://www.eum.go.kr/web/ar/lu/luLandDet.jsp?pnu=3611035025103780028&amp;isNoScr=script&amp;mode=search", "토지이음")</f>
        <v/>
      </c>
      <c r="O2350" s="3" t="inlineStr">
        <is>
          <t>Home</t>
        </is>
      </c>
      <c r="P2350" s="4" t="n">
        <v>1</v>
      </c>
      <c r="Q2350" s="4" t="n">
        <v>470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가로장방</t>
        </is>
      </c>
      <c r="V2350" s="3" t="inlineStr">
        <is>
          <t>소로각지</t>
        </is>
      </c>
    </row>
    <row r="2351">
      <c r="A2351" s="3" t="inlineStr">
        <is>
          <t>장군면 금암리 378-28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대</t>
        </is>
      </c>
      <c r="E2351" s="3" t="inlineStr">
        <is>
          <t>매매</t>
        </is>
      </c>
      <c r="F2351" s="4" t="n">
        <v>52000</v>
      </c>
      <c r="G2351" s="4" t="n">
        <v>470</v>
      </c>
      <c r="H2351" s="4" t="n">
        <v>142</v>
      </c>
      <c r="I2351" s="5" t="n">
        <v>366.2</v>
      </c>
      <c r="J2351" s="5" t="n">
        <v>223.6</v>
      </c>
      <c r="K2351" s="3" t="inlineStr">
        <is>
          <t>공주가는길농협연수원근처,전원주택즉시건축가능,첫마을에서10분지대가높고좋아요</t>
        </is>
      </c>
      <c r="L2351" s="6">
        <f>HYPERLINK("https://fin.land.naver.com/articles/2653891318", "매물Link")</f>
        <v/>
      </c>
      <c r="M2351" s="6">
        <f>HYPERLINK("https://map.naver.com/p/search/장군면 금암리 378-28", "지도Link")</f>
        <v/>
      </c>
      <c r="N2351" s="6">
        <f>HYPERLINK("http://www.eum.go.kr/web/ar/lu/luLandDet.jsp?pnu=3611035025103780028&amp;isNoScr=script&amp;mode=search", "토지이음")</f>
        <v/>
      </c>
      <c r="O2351" s="3" t="inlineStr">
        <is>
          <t>신대륙</t>
        </is>
      </c>
      <c r="P2351" s="4" t="n">
        <v>1</v>
      </c>
      <c r="Q2351" s="4" t="n">
        <v>470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가로장방</t>
        </is>
      </c>
      <c r="V2351" s="3" t="inlineStr">
        <is>
          <t>소로각지</t>
        </is>
      </c>
    </row>
    <row r="2352">
      <c r="A2352" s="3" t="inlineStr">
        <is>
          <t>장군면 금암리 378-35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85000</v>
      </c>
      <c r="G2352" s="4" t="n">
        <v>701</v>
      </c>
      <c r="H2352" s="4" t="n">
        <v>212</v>
      </c>
      <c r="I2352" s="5" t="n">
        <v>400.9</v>
      </c>
      <c r="J2352" s="5" t="n">
        <v>196.2</v>
      </c>
      <c r="K2352" s="3" t="inlineStr">
        <is>
          <t>세종시 신도시및금강인접 주변 이쁜주택주지조성된 곳 금강 조망</t>
        </is>
      </c>
      <c r="L2352" s="6">
        <f>HYPERLINK("https://fin.land.naver.com/articles/2656361595", "매물Link")</f>
        <v/>
      </c>
      <c r="M2352" s="6">
        <f>HYPERLINK("https://map.naver.com/p/search/장군면 금암리 378-35", "지도Link")</f>
        <v/>
      </c>
      <c r="N2352" s="6">
        <f>HYPERLINK("http://www.eum.go.kr/web/ar/lu/luLandDet.jsp?pnu=3611035025103780035&amp;isNoScr=script&amp;mode=search", "토지이음")</f>
        <v/>
      </c>
      <c r="O2352" s="3" t="inlineStr">
        <is>
          <t>세종강남</t>
        </is>
      </c>
      <c r="P2352" s="4" t="n">
        <v>2</v>
      </c>
      <c r="Q2352" s="4" t="n">
        <v>582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금암리 378-44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100000</v>
      </c>
      <c r="G2353" s="4" t="n">
        <v>885</v>
      </c>
      <c r="H2353" s="4" t="n">
        <v>268</v>
      </c>
      <c r="I2353" s="5" t="n">
        <v>373.1</v>
      </c>
      <c r="J2353" s="5" t="n">
        <v>128.7</v>
      </c>
      <c r="K2353" s="3" t="inlineStr">
        <is>
          <t>금강이 잘 보이는 청벽 전원주택부지로 택지개발 완료한 급매물입니다.</t>
        </is>
      </c>
      <c r="L2353" s="6">
        <f>HYPERLINK("https://fin.land.naver.com/articles/2651478021", "매물Link")</f>
        <v/>
      </c>
      <c r="M2353" s="6">
        <f>HYPERLINK("https://map.naver.com/p/search/장군면 금암리 378-44", "지도Link")</f>
        <v/>
      </c>
      <c r="N2353" s="6">
        <f>HYPERLINK("http://www.eum.go.kr/web/ar/lu/luLandDet.jsp?pnu=3611035025103780044&amp;isNoScr=script&amp;mode=search", "토지이음")</f>
        <v/>
      </c>
      <c r="O2353" s="3" t="inlineStr">
        <is>
          <t>스마일세종</t>
        </is>
      </c>
      <c r="P2353" s="4" t="n">
        <v>1</v>
      </c>
      <c r="Q2353" s="4" t="n">
        <v>725</v>
      </c>
      <c r="R2353" s="3" t="inlineStr">
        <is>
          <t>지정되지않음</t>
        </is>
      </c>
      <c r="S2353" s="3" t="inlineStr">
        <is>
          <t>전기타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금암리 40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기타</t>
        </is>
      </c>
      <c r="E2354" s="3" t="inlineStr">
        <is>
          <t>매매</t>
        </is>
      </c>
      <c r="F2354" s="4" t="n">
        <v>2020960</v>
      </c>
      <c r="G2354" s="4" t="n">
        <v>42052</v>
      </c>
      <c r="H2354" s="4" t="n">
        <v>12721</v>
      </c>
      <c r="I2354" s="5" t="n">
        <v>158.9</v>
      </c>
      <c r="J2354" s="5" t="n">
        <v>69.2</v>
      </c>
      <c r="K2354" s="3" t="inlineStr">
        <is>
          <t>세종시초입 전원주택 또는 요양원개발에 적합 총11필지</t>
        </is>
      </c>
      <c r="L2354" s="6">
        <f>HYPERLINK("https://fin.land.naver.com/articles/2655019598", "매물Link")</f>
        <v/>
      </c>
      <c r="M2354" s="6">
        <f>HYPERLINK("https://map.naver.com/p/search/장군면 금암리 40", "지도Link")</f>
        <v/>
      </c>
      <c r="N2354" s="6">
        <f>HYPERLINK("http://www.eum.go.kr/web/ar/lu/luLandDet.jsp?pnu=3611035025100400000&amp;isNoScr=script&amp;mode=search", "토지이음")</f>
        <v/>
      </c>
      <c r="O2354" s="3" t="inlineStr">
        <is>
          <t>바다하리</t>
        </is>
      </c>
      <c r="P2354" s="4" t="n">
        <v>1</v>
      </c>
      <c r="Q2354" s="4" t="n">
        <v>1210</v>
      </c>
      <c r="R2354" s="3" t="inlineStr">
        <is>
          <t>지정되지않음</t>
        </is>
      </c>
      <c r="S2354" s="3" t="inlineStr">
        <is>
          <t>전축사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세로한면(불)</t>
        </is>
      </c>
    </row>
    <row r="2355">
      <c r="A2355" s="3" t="inlineStr">
        <is>
          <t>장군면 금암리 500-1</t>
        </is>
      </c>
      <c r="B2355" s="3" t="inlineStr">
        <is>
          <t>계획관리지역</t>
        </is>
      </c>
      <c r="C2355" s="3" t="inlineStr">
        <is>
          <t>전</t>
        </is>
      </c>
      <c r="D2355" s="3" t="inlineStr">
        <is>
          <t>전</t>
        </is>
      </c>
      <c r="E2355" s="3" t="inlineStr">
        <is>
          <t>매매</t>
        </is>
      </c>
      <c r="F2355" s="4" t="n">
        <v>40000</v>
      </c>
      <c r="G2355" s="4" t="n">
        <v>763</v>
      </c>
      <c r="H2355" s="4" t="n">
        <v>231</v>
      </c>
      <c r="I2355" s="5" t="n">
        <v>173.2</v>
      </c>
      <c r="J2355" s="5" t="n">
        <v>36.7</v>
      </c>
      <c r="K2355" s="3" t="inlineStr">
        <is>
          <t>조용하고 한적한 전원 주택지.</t>
        </is>
      </c>
      <c r="L2355" s="6">
        <f>HYPERLINK("https://fin.land.naver.com/articles/2655951986", "매물Link")</f>
        <v/>
      </c>
      <c r="M2355" s="6">
        <f>HYPERLINK("https://map.naver.com/p/search/장군면 금암리 500-1", "지도Link")</f>
        <v/>
      </c>
      <c r="N2355" s="6">
        <f>HYPERLINK("http://www.eum.go.kr/web/ar/lu/luLandDet.jsp?pnu=3611035025105000001&amp;isNoScr=script&amp;mode=search", "토지이음")</f>
        <v/>
      </c>
      <c r="O2355" s="3" t="inlineStr">
        <is>
          <t>진흥채</t>
        </is>
      </c>
      <c r="P2355" s="4" t="n">
        <v>2</v>
      </c>
      <c r="Q2355" s="4" t="n">
        <v>763</v>
      </c>
      <c r="R2355" s="3" t="inlineStr">
        <is>
          <t>지정되지않음</t>
        </is>
      </c>
      <c r="S2355" s="3" t="inlineStr">
        <is>
          <t>전</t>
        </is>
      </c>
      <c r="T2355" s="3" t="inlineStr">
        <is>
          <t>완경사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금암리 86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15000</v>
      </c>
      <c r="G2356" s="4" t="n">
        <v>912</v>
      </c>
      <c r="H2356" s="4" t="n">
        <v>276</v>
      </c>
      <c r="I2356" s="5" t="n">
        <v>54.3</v>
      </c>
      <c r="J2356" s="5" t="n">
        <v>34.6</v>
      </c>
      <c r="K2356" s="3" t="inlineStr">
        <is>
          <t>공지지가9600만 대전에서  가까운주말농장이나 전원주택  국유지 사용가능</t>
        </is>
      </c>
      <c r="L2356" s="6">
        <f>HYPERLINK("https://fin.land.naver.com/articles/2652409167", "매물Link")</f>
        <v/>
      </c>
      <c r="M2356" s="6">
        <f>HYPERLINK("https://map.naver.com/p/search/장군면 금암리 86", "지도Link")</f>
        <v/>
      </c>
      <c r="N2356" s="6">
        <f>HYPERLINK("http://www.eum.go.kr/web/ar/lu/luLandDet.jsp?pnu=3611035025100860000&amp;isNoScr=script&amp;mode=search", "토지이음")</f>
        <v/>
      </c>
      <c r="O2356" s="3" t="inlineStr">
        <is>
          <t>엔터수진</t>
        </is>
      </c>
      <c r="P2356" s="4" t="n">
        <v>1</v>
      </c>
      <c r="Q2356" s="4" t="n">
        <v>912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금암리 89-1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50000</v>
      </c>
      <c r="G2357" s="4" t="n">
        <v>1000</v>
      </c>
      <c r="H2357" s="4" t="n">
        <v>302</v>
      </c>
      <c r="I2357" s="5" t="n">
        <v>165.6</v>
      </c>
      <c r="J2357" s="5" t="n">
        <v>71</v>
      </c>
      <c r="K2357" s="3" t="inlineStr">
        <is>
          <t>세종시 이마트에서 차로 10분거리인 토지임.</t>
        </is>
      </c>
      <c r="L2357" s="6">
        <f>HYPERLINK("https://fin.land.naver.com/articles/2653572183", "매물Link")</f>
        <v/>
      </c>
      <c r="M2357" s="6">
        <f>HYPERLINK("https://map.naver.com/p/search/장군면 금암리 89-1", "지도Link")</f>
        <v/>
      </c>
      <c r="N2357" s="6">
        <f>HYPERLINK("http://www.eum.go.kr/web/ar/lu/luLandDet.jsp?pnu=3611035025100890001&amp;isNoScr=script&amp;mode=search", "토지이음")</f>
        <v/>
      </c>
      <c r="O2357" s="3" t="inlineStr">
        <is>
          <t>에이원</t>
        </is>
      </c>
      <c r="P2357" s="4" t="n">
        <v>1</v>
      </c>
      <c r="Q2357" s="4" t="n">
        <v>1000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대교리 113-51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48000</v>
      </c>
      <c r="G2358" s="4" t="n">
        <v>401</v>
      </c>
      <c r="H2358" s="4" t="n">
        <v>121</v>
      </c>
      <c r="I2358" s="5" t="n">
        <v>396.7</v>
      </c>
      <c r="J2358" s="5" t="n">
        <v>233.8</v>
      </c>
      <c r="K2358" s="3" t="inlineStr">
        <is>
          <t>장군면 대교리 개발된 계획관리 토지, 장군면소재지, 신도시 인근, 건축용</t>
        </is>
      </c>
      <c r="L2358" s="6">
        <f>HYPERLINK("https://fin.land.naver.com/articles/2654029944", "매물Link")</f>
        <v/>
      </c>
      <c r="M2358" s="6">
        <f>HYPERLINK("https://map.naver.com/p/search/장군면 대교리 113-51", "지도Link")</f>
        <v/>
      </c>
      <c r="N2358" s="6">
        <f>HYPERLINK("http://www.eum.go.kr/web/ar/lu/luLandDet.jsp?pnu=3611035023101130051&amp;isNoScr=script&amp;mode=search", "토지이음")</f>
        <v/>
      </c>
      <c r="O2358" s="3" t="inlineStr">
        <is>
          <t>스카이</t>
        </is>
      </c>
      <c r="P2358" s="4" t="n">
        <v>1</v>
      </c>
      <c r="Q2358" s="4" t="n">
        <v>282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세로각지(가)</t>
        </is>
      </c>
    </row>
    <row r="2359">
      <c r="A2359" s="3" t="inlineStr">
        <is>
          <t>장군면 대교리 113-57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임야</t>
        </is>
      </c>
      <c r="E2359" s="3" t="inlineStr">
        <is>
          <t>매매</t>
        </is>
      </c>
      <c r="F2359" s="4" t="n">
        <v>46000</v>
      </c>
      <c r="G2359" s="4" t="n">
        <v>380</v>
      </c>
      <c r="H2359" s="4" t="n">
        <v>115</v>
      </c>
      <c r="I2359" s="5" t="n">
        <v>400</v>
      </c>
      <c r="J2359" s="5" t="n">
        <v>249.9</v>
      </c>
      <c r="K2359" s="3" t="inlineStr">
        <is>
          <t>장군면 대교리 개발된 계획관리 토지, 장군면소재지, 신도시 인근, 건축용</t>
        </is>
      </c>
      <c r="L2359" s="6">
        <f>HYPERLINK("https://fin.land.naver.com/articles/2654029890", "매물Link")</f>
        <v/>
      </c>
      <c r="M2359" s="6">
        <f>HYPERLINK("https://map.naver.com/p/search/장군면 대교리 113-57", "지도Link")</f>
        <v/>
      </c>
      <c r="N2359" s="6">
        <f>HYPERLINK("http://www.eum.go.kr/web/ar/lu/luLandDet.jsp?pnu=3611035023101130057&amp;isNoScr=script&amp;mode=search", "토지이음")</f>
        <v/>
      </c>
      <c r="O2359" s="3" t="inlineStr">
        <is>
          <t>스카이</t>
        </is>
      </c>
      <c r="P2359" s="4" t="n">
        <v>1</v>
      </c>
      <c r="Q2359" s="4" t="n">
        <v>294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대교리 125-30</t>
        </is>
      </c>
      <c r="B2360" s="3" t="inlineStr">
        <is>
          <t>보전관리지역</t>
        </is>
      </c>
      <c r="C2360" s="3" t="inlineStr">
        <is>
          <t>대</t>
        </is>
      </c>
      <c r="D2360" s="3" t="inlineStr">
        <is>
          <t>대</t>
        </is>
      </c>
      <c r="E2360" s="3" t="inlineStr">
        <is>
          <t>매매</t>
        </is>
      </c>
      <c r="F2360" s="4" t="n">
        <v>34000</v>
      </c>
      <c r="G2360" s="4" t="n">
        <v>330</v>
      </c>
      <c r="H2360" s="4" t="n">
        <v>100</v>
      </c>
      <c r="I2360" s="5" t="n">
        <v>340</v>
      </c>
      <c r="J2360" s="5" t="n">
        <v>144.5</v>
      </c>
      <c r="K2360" s="3" t="inlineStr">
        <is>
          <t>모양 반듯한 대지. 위치 좋고 생활권 접근성 위치 굿.</t>
        </is>
      </c>
      <c r="L2360" s="6">
        <f>HYPERLINK("https://fin.land.naver.com/articles/2655811072", "매물Link")</f>
        <v/>
      </c>
      <c r="M2360" s="6">
        <f>HYPERLINK("https://map.naver.com/p/search/장군면 대교리 125-30", "지도Link")</f>
        <v/>
      </c>
      <c r="N2360" s="6">
        <f>HYPERLINK("http://www.eum.go.kr/web/ar/lu/luLandDet.jsp?pnu=3611035023101250030&amp;isNoScr=script&amp;mode=search", "토지이음")</f>
        <v/>
      </c>
      <c r="O2360" s="3" t="inlineStr">
        <is>
          <t>세종올리브</t>
        </is>
      </c>
      <c r="P2360" s="4" t="n">
        <v>1</v>
      </c>
      <c r="Q2360" s="4" t="n">
        <v>330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대교리 125-54</t>
        </is>
      </c>
      <c r="B2361" s="3" t="inlineStr">
        <is>
          <t>보전관리지역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50000</v>
      </c>
      <c r="G2361" s="4" t="n">
        <v>447</v>
      </c>
      <c r="H2361" s="4" t="n">
        <v>135</v>
      </c>
      <c r="I2361" s="5" t="n">
        <v>370.4</v>
      </c>
      <c r="J2361" s="5" t="n">
        <v>144.5</v>
      </c>
      <c r="K2361" s="3" t="inlineStr">
        <is>
          <t>장군면 전원주택지 ,위치좋고 뷰가 최상,가락마을 9단지 근처.가격조율가.</t>
        </is>
      </c>
      <c r="L2361" s="6">
        <f>HYPERLINK("https://fin.land.naver.com/articles/2650960709", "매물Link")</f>
        <v/>
      </c>
      <c r="M2361" s="6">
        <f>HYPERLINK("https://map.naver.com/p/search/장군면 대교리 125-54", "지도Link")</f>
        <v/>
      </c>
      <c r="N2361" s="6">
        <f>HYPERLINK("http://www.eum.go.kr/web/ar/lu/luLandDet.jsp?pnu=3611035023101250054&amp;isNoScr=script&amp;mode=search", "토지이음")</f>
        <v/>
      </c>
      <c r="O2361" s="3" t="inlineStr">
        <is>
          <t>우미</t>
        </is>
      </c>
      <c r="P2361" s="4" t="n">
        <v>1</v>
      </c>
      <c r="Q2361" s="4" t="n">
        <v>447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대교리 125-57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46000</v>
      </c>
      <c r="G2362" s="4" t="n">
        <v>330</v>
      </c>
      <c r="H2362" s="4" t="n">
        <v>100</v>
      </c>
      <c r="I2362" s="5" t="n">
        <v>460</v>
      </c>
      <c r="J2362" s="5" t="n">
        <v>144.5</v>
      </c>
      <c r="K2362" s="3" t="inlineStr">
        <is>
          <t>nan</t>
        </is>
      </c>
      <c r="L2362" s="6">
        <f>HYPERLINK("https://fin.land.naver.com/articles/2653143525", "매물Link")</f>
        <v/>
      </c>
      <c r="M2362" s="6">
        <f>HYPERLINK("https://map.naver.com/p/search/장군면 대교리 125-57", "지도Link")</f>
        <v/>
      </c>
      <c r="N2362" s="6">
        <f>HYPERLINK("http://www.eum.go.kr/web/ar/lu/luLandDet.jsp?pnu=3611035023101250057&amp;isNoScr=script&amp;mode=search", "토지이음")</f>
        <v/>
      </c>
      <c r="O2362" s="3" t="inlineStr">
        <is>
          <t>세종다정랜드</t>
        </is>
      </c>
      <c r="P2362" s="4" t="n">
        <v>1</v>
      </c>
      <c r="Q2362" s="4" t="n">
        <v>330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대교리 126-12</t>
        </is>
      </c>
      <c r="B2363" s="3" t="inlineStr">
        <is>
          <t>보전관리지역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75000</v>
      </c>
      <c r="G2363" s="4" t="n">
        <v>646</v>
      </c>
      <c r="H2363" s="4" t="n">
        <v>195</v>
      </c>
      <c r="I2363" s="5" t="n">
        <v>384.6</v>
      </c>
      <c r="J2363" s="5" t="n">
        <v>175.3</v>
      </c>
      <c r="K2363" s="3" t="inlineStr">
        <is>
          <t>조망좋은 행복도시인접 전원주택부지</t>
        </is>
      </c>
      <c r="L2363" s="6">
        <f>HYPERLINK("https://fin.land.naver.com/articles/2655159099", "매물Link")</f>
        <v/>
      </c>
      <c r="M2363" s="6">
        <f>HYPERLINK("https://map.naver.com/p/search/장군면 대교리 126-12", "지도Link")</f>
        <v/>
      </c>
      <c r="N2363" s="6">
        <f>HYPERLINK("http://www.eum.go.kr/web/ar/lu/luLandDet.jsp?pnu=3611035023101260012&amp;isNoScr=script&amp;mode=search", "토지이음")</f>
        <v/>
      </c>
      <c r="O2363" s="3" t="inlineStr">
        <is>
          <t>인서</t>
        </is>
      </c>
      <c r="P2363" s="4" t="n">
        <v>1</v>
      </c>
      <c r="Q2363" s="4" t="n">
        <v>450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대교리 126-40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82000</v>
      </c>
      <c r="G2364" s="4" t="n">
        <v>645</v>
      </c>
      <c r="H2364" s="4" t="n">
        <v>195</v>
      </c>
      <c r="I2364" s="5" t="n">
        <v>420.5</v>
      </c>
      <c r="J2364" s="5" t="n">
        <v>175.3</v>
      </c>
      <c r="K2364" s="3" t="inlineStr">
        <is>
          <t>잘 조성된 전원주택부지 편의시설 바로 옆 행복도시생활권</t>
        </is>
      </c>
      <c r="L2364" s="6">
        <f>HYPERLINK("https://fin.land.naver.com/articles/2654670333", "매물Link")</f>
        <v/>
      </c>
      <c r="M2364" s="6">
        <f>HYPERLINK("https://map.naver.com/p/search/장군면 대교리 126-40", "지도Link")</f>
        <v/>
      </c>
      <c r="N2364" s="6">
        <f>HYPERLINK("http://www.eum.go.kr/web/ar/lu/luLandDet.jsp?pnu=3611035023101260040&amp;isNoScr=script&amp;mode=search", "토지이음")</f>
        <v/>
      </c>
      <c r="O2364" s="3" t="inlineStr">
        <is>
          <t>하임</t>
        </is>
      </c>
      <c r="P2364" s="4" t="n">
        <v>1</v>
      </c>
      <c r="Q2364" s="4" t="n">
        <v>450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대교리 132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1050000</v>
      </c>
      <c r="G2365" s="4" t="n">
        <v>5513</v>
      </c>
      <c r="H2365" s="4" t="n">
        <v>1668</v>
      </c>
      <c r="I2365" s="5" t="n">
        <v>629.5</v>
      </c>
      <c r="J2365" s="5" t="n">
        <v>186.7</v>
      </c>
      <c r="K2365" s="3" t="inlineStr">
        <is>
          <t>고운동 대단위아파트단지 3분거리 계획관리지역 땅</t>
        </is>
      </c>
      <c r="L2365" s="6">
        <f>HYPERLINK("https://fin.land.naver.com/articles/2653539235", "매물Link")</f>
        <v/>
      </c>
      <c r="M2365" s="6">
        <f>HYPERLINK("https://map.naver.com/p/search/장군면 대교리 132", "지도Link")</f>
        <v/>
      </c>
      <c r="N2365" s="6">
        <f>HYPERLINK("http://www.eum.go.kr/web/ar/lu/luLandDet.jsp?pnu=3611035023101320000&amp;isNoScr=script&amp;mode=search", "토지이음")</f>
        <v/>
      </c>
      <c r="O2365" s="3" t="inlineStr">
        <is>
          <t>세종천지</t>
        </is>
      </c>
      <c r="P2365" s="4" t="n">
        <v>2</v>
      </c>
      <c r="Q2365" s="4" t="n">
        <v>5513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소로한면</t>
        </is>
      </c>
    </row>
    <row r="2366">
      <c r="A2366" s="3" t="inlineStr">
        <is>
          <t>장군면 대교리 147-39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72500</v>
      </c>
      <c r="G2366" s="4" t="n">
        <v>826</v>
      </c>
      <c r="H2366" s="4" t="n">
        <v>250</v>
      </c>
      <c r="I2366" s="5" t="n">
        <v>290</v>
      </c>
      <c r="J2366" s="5" t="n">
        <v>177.5</v>
      </c>
      <c r="K2366" s="3" t="inlineStr">
        <is>
          <t>고운동 접근성 좋은 대지</t>
        </is>
      </c>
      <c r="L2366" s="6">
        <f>HYPERLINK("https://fin.land.naver.com/articles/2652747167", "매물Link")</f>
        <v/>
      </c>
      <c r="M2366" s="6">
        <f>HYPERLINK("https://map.naver.com/p/search/장군면 대교리 147-39", "지도Link")</f>
        <v/>
      </c>
      <c r="N2366" s="6">
        <f>HYPERLINK("http://www.eum.go.kr/web/ar/lu/luLandDet.jsp?pnu=3611035023101470039&amp;isNoScr=script&amp;mode=search", "토지이음")</f>
        <v/>
      </c>
      <c r="O2366" s="3" t="inlineStr">
        <is>
          <t>세종로또</t>
        </is>
      </c>
      <c r="P2366" s="4" t="n">
        <v>1</v>
      </c>
      <c r="Q2366" s="4" t="n">
        <v>659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대교리 147-53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51000</v>
      </c>
      <c r="G2367" s="4" t="n">
        <v>667</v>
      </c>
      <c r="H2367" s="4" t="n">
        <v>202</v>
      </c>
      <c r="I2367" s="5" t="n">
        <v>252.5</v>
      </c>
      <c r="J2367" s="5" t="n">
        <v>177.5</v>
      </c>
      <c r="K2367" s="3" t="inlineStr">
        <is>
          <t>고운풍경채마을 위치 좋은 전원 주택지 입니다</t>
        </is>
      </c>
      <c r="L2367" s="6">
        <f>HYPERLINK("https://fin.land.naver.com/articles/2656182080", "매물Link")</f>
        <v/>
      </c>
      <c r="M2367" s="6">
        <f>HYPERLINK("https://map.naver.com/p/search/장군면 대교리 147-53", "지도Link")</f>
        <v/>
      </c>
      <c r="N2367" s="6">
        <f>HYPERLINK("http://www.eum.go.kr/web/ar/lu/luLandDet.jsp?pnu=3611035023101470053&amp;isNoScr=script&amp;mode=search", "토지이음")</f>
        <v/>
      </c>
      <c r="O2367" s="3" t="inlineStr">
        <is>
          <t>세종공주원탑</t>
        </is>
      </c>
      <c r="P2367" s="4" t="n">
        <v>1</v>
      </c>
      <c r="Q2367" s="4" t="n">
        <v>667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대교리 169-21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25000</v>
      </c>
      <c r="G2368" s="4" t="n">
        <v>167</v>
      </c>
      <c r="H2368" s="4" t="n">
        <v>51</v>
      </c>
      <c r="I2368" s="5" t="n">
        <v>490.2</v>
      </c>
      <c r="J2368" s="5" t="n">
        <v>252.6</v>
      </c>
      <c r="K2368" s="3" t="inlineStr">
        <is>
          <t>행복도시 최인접대지로 인기좋은땅</t>
        </is>
      </c>
      <c r="L2368" s="6">
        <f>HYPERLINK("https://fin.land.naver.com/articles/2652288273", "매물Link")</f>
        <v/>
      </c>
      <c r="M2368" s="6">
        <f>HYPERLINK("https://map.naver.com/p/search/장군면 대교리 169-21", "지도Link")</f>
        <v/>
      </c>
      <c r="N2368" s="6">
        <f>HYPERLINK("http://www.eum.go.kr/web/ar/lu/luLandDet.jsp?pnu=3611035023101690021&amp;isNoScr=script&amp;mode=search", "토지이음")</f>
        <v/>
      </c>
      <c r="O2368" s="3" t="inlineStr">
        <is>
          <t>모닝스타</t>
        </is>
      </c>
      <c r="P2368" s="4" t="n">
        <v>1</v>
      </c>
      <c r="Q2368" s="4" t="n">
        <v>167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대교리 172-24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45000</v>
      </c>
      <c r="G2369" s="4" t="n">
        <v>644</v>
      </c>
      <c r="H2369" s="4" t="n">
        <v>195</v>
      </c>
      <c r="I2369" s="5" t="n">
        <v>230.8</v>
      </c>
      <c r="J2369" s="5" t="n">
        <v>174.1</v>
      </c>
      <c r="K2369" s="3" t="inlineStr">
        <is>
          <t>대교리전원주택지,서세종IC,세종시5분내진입가능,총4필지</t>
        </is>
      </c>
      <c r="L2369" s="6">
        <f>HYPERLINK("https://fin.land.naver.com/articles/2655512661", "매물Link")</f>
        <v/>
      </c>
      <c r="M2369" s="6">
        <f>HYPERLINK("https://map.naver.com/p/search/장군면 대교리 172-24", "지도Link")</f>
        <v/>
      </c>
      <c r="N2369" s="6">
        <f>HYPERLINK("http://www.eum.go.kr/web/ar/lu/luLandDet.jsp?pnu=3611035023101720024&amp;isNoScr=script&amp;mode=search", "토지이음")</f>
        <v/>
      </c>
      <c r="O2369" s="3" t="inlineStr">
        <is>
          <t>부자마을</t>
        </is>
      </c>
      <c r="P2369" s="4" t="n">
        <v>1</v>
      </c>
      <c r="Q2369" s="4" t="n">
        <v>576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대교리 172-28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37400</v>
      </c>
      <c r="G2370" s="4" t="n">
        <v>618</v>
      </c>
      <c r="H2370" s="4" t="n">
        <v>187</v>
      </c>
      <c r="I2370" s="5" t="n">
        <v>200</v>
      </c>
      <c r="J2370" s="5" t="n">
        <v>154.6</v>
      </c>
      <c r="K2370" s="3" t="inlineStr">
        <is>
          <t>도심인근전원주택지,서세종ic5분,정부청사15분,도로접</t>
        </is>
      </c>
      <c r="L2370" s="6">
        <f>HYPERLINK("https://fin.land.naver.com/articles/2656225042", "매물Link")</f>
        <v/>
      </c>
      <c r="M2370" s="6">
        <f>HYPERLINK("https://map.naver.com/p/search/장군면 대교리 172-28", "지도Link")</f>
        <v/>
      </c>
      <c r="N2370" s="6">
        <f>HYPERLINK("http://www.eum.go.kr/web/ar/lu/luLandDet.jsp?pnu=3611035023101720028&amp;isNoScr=script&amp;mode=search", "토지이음")</f>
        <v/>
      </c>
      <c r="O2370" s="3" t="inlineStr">
        <is>
          <t>힐스테이트행복</t>
        </is>
      </c>
      <c r="P2370" s="4" t="n">
        <v>1</v>
      </c>
      <c r="Q2370" s="4" t="n">
        <v>302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세로한면(불)</t>
        </is>
      </c>
    </row>
    <row r="2371">
      <c r="A2371" s="3" t="inlineStr">
        <is>
          <t>장군면 대교리 227-16</t>
        </is>
      </c>
      <c r="B2371" s="3" t="inlineStr">
        <is>
          <t>보전관리지역</t>
        </is>
      </c>
      <c r="C2371" s="3" t="inlineStr">
        <is>
          <t>대</t>
        </is>
      </c>
      <c r="D2371" s="3" t="inlineStr">
        <is>
          <t>대</t>
        </is>
      </c>
      <c r="E2371" s="3" t="inlineStr">
        <is>
          <t>매매</t>
        </is>
      </c>
      <c r="F2371" s="4" t="n">
        <v>100000</v>
      </c>
      <c r="G2371" s="4" t="n">
        <v>1361</v>
      </c>
      <c r="H2371" s="4" t="n">
        <v>412</v>
      </c>
      <c r="I2371" s="5" t="n">
        <v>242.7</v>
      </c>
      <c r="J2371" s="5" t="n">
        <v>151.2</v>
      </c>
      <c r="K2371" s="3" t="inlineStr">
        <is>
          <t>신도시 1km 거리 명품택지 이니지오, 넓은평수에 상단 위치 최상 전망</t>
        </is>
      </c>
      <c r="L2371" s="6">
        <f>HYPERLINK("https://fin.land.naver.com/articles/2656487049", "매물Link")</f>
        <v/>
      </c>
      <c r="M2371" s="6">
        <f>HYPERLINK("https://map.naver.com/p/search/장군면 대교리 227-16", "지도Link")</f>
        <v/>
      </c>
      <c r="N2371" s="6">
        <f>HYPERLINK("http://www.eum.go.kr/web/ar/lu/luLandDet.jsp?pnu=3611035023102270016&amp;isNoScr=script&amp;mode=search",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892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대교리 227-16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100000</v>
      </c>
      <c r="G2372" s="4" t="n">
        <v>892</v>
      </c>
      <c r="H2372" s="4" t="n">
        <v>270</v>
      </c>
      <c r="I2372" s="5" t="n">
        <v>370.4</v>
      </c>
      <c r="J2372" s="5" t="n">
        <v>151.2</v>
      </c>
      <c r="K2372" s="3" t="inlineStr">
        <is>
          <t>가격네고가능,2차선도로접,세종시근접,건축허가 난토지.단독주택지로 추천</t>
        </is>
      </c>
      <c r="L2372" s="6">
        <f>HYPERLINK("https://fin.land.naver.com/articles/2653280505", "매물Link")</f>
        <v/>
      </c>
      <c r="M2372" s="6">
        <f>HYPERLINK("https://map.naver.com/p/search/장군면 대교리 227-16", "지도Link")</f>
        <v/>
      </c>
      <c r="N2372" s="6">
        <f>HYPERLINK("http://www.eum.go.kr/web/ar/lu/luLandDet.jsp?pnu=3611035023102270016&amp;isNoScr=script&amp;mode=search", "토지이음")</f>
        <v/>
      </c>
      <c r="O2372" s="3" t="inlineStr">
        <is>
          <t>담뜰</t>
        </is>
      </c>
      <c r="P2372" s="4" t="n">
        <v>1</v>
      </c>
      <c r="Q2372" s="4" t="n">
        <v>892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대교리 227-7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151200</v>
      </c>
      <c r="G2373" s="4" t="n">
        <v>823</v>
      </c>
      <c r="H2373" s="4" t="n">
        <v>249</v>
      </c>
      <c r="I2373" s="5" t="n">
        <v>607.2</v>
      </c>
      <c r="J2373" s="5" t="n">
        <v>151.2</v>
      </c>
      <c r="K2373" s="3" t="inlineStr">
        <is>
          <t>세종 장군면 대교리 실속형 대지 매매</t>
        </is>
      </c>
      <c r="L2373" s="6">
        <f>HYPERLINK("https://fin.land.naver.com/articles/2653143482", "매물Link")</f>
        <v/>
      </c>
      <c r="M2373" s="6">
        <f>HYPERLINK("https://map.naver.com/p/search/장군면 대교리 227-7", "지도Link")</f>
        <v/>
      </c>
      <c r="N2373" s="6">
        <f>HYPERLINK("http://www.eum.go.kr/web/ar/lu/luLandDet.jsp?pnu=3611035023102270007&amp;isNoScr=script&amp;mode=search",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823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대교리 228-17</t>
        </is>
      </c>
      <c r="B2374" s="3" t="inlineStr">
        <is>
          <t>보전관리지역</t>
        </is>
      </c>
      <c r="C2374" s="3" t="inlineStr">
        <is>
          <t>대</t>
        </is>
      </c>
      <c r="D2374" s="3" t="inlineStr">
        <is>
          <t>대</t>
        </is>
      </c>
      <c r="E2374" s="3" t="inlineStr">
        <is>
          <t>매매</t>
        </is>
      </c>
      <c r="F2374" s="4" t="n">
        <v>70000</v>
      </c>
      <c r="G2374" s="4" t="n">
        <v>807</v>
      </c>
      <c r="H2374" s="4" t="n">
        <v>244</v>
      </c>
      <c r="I2374" s="5" t="n">
        <v>286.9</v>
      </c>
      <c r="J2374" s="5" t="n">
        <v>151.2</v>
      </c>
      <c r="K2374" s="3" t="inlineStr">
        <is>
          <t>2차선 도로접한 대지  매매,세종시 고운동 근접</t>
        </is>
      </c>
      <c r="L2374" s="6">
        <f>HYPERLINK("https://fin.land.naver.com/articles/2654855546", "매물Link")</f>
        <v/>
      </c>
      <c r="M2374" s="6">
        <f>HYPERLINK("https://map.naver.com/p/search/장군면 대교리 228-17", "지도Link")</f>
        <v/>
      </c>
      <c r="N2374" s="6">
        <f>HYPERLINK("http://www.eum.go.kr/web/ar/lu/luLandDet.jsp?pnu=3611035023102280017&amp;isNoScr=script&amp;mode=search", "토지이음")</f>
        <v/>
      </c>
      <c r="O2374" s="3" t="inlineStr">
        <is>
          <t>담뜰</t>
        </is>
      </c>
      <c r="P2374" s="4" t="n">
        <v>1</v>
      </c>
      <c r="Q2374" s="4" t="n">
        <v>807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대교리 228-20</t>
        </is>
      </c>
      <c r="B2375" s="3" t="inlineStr">
        <is>
          <t>보전관리지역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106700</v>
      </c>
      <c r="G2375" s="4" t="n">
        <v>801</v>
      </c>
      <c r="H2375" s="4" t="n">
        <v>242</v>
      </c>
      <c r="I2375" s="5" t="n">
        <v>440.9</v>
      </c>
      <c r="J2375" s="5" t="n">
        <v>151.2</v>
      </c>
      <c r="K2375" s="3" t="inlineStr">
        <is>
          <t>이니지오 단독주택지 전원주택 단독주택 찾는분</t>
        </is>
      </c>
      <c r="L2375" s="6">
        <f>HYPERLINK("https://fin.land.naver.com/articles/2655683046", "매물Link")</f>
        <v/>
      </c>
      <c r="M2375" s="6">
        <f>HYPERLINK("https://map.naver.com/p/search/장군면 대교리 228-20", "지도Link")</f>
        <v/>
      </c>
      <c r="N2375" s="6">
        <f>HYPERLINK("http://www.eum.go.kr/web/ar/lu/luLandDet.jsp?pnu=3611035023102280020&amp;isNoScr=script&amp;mode=search", "토지이음")</f>
        <v/>
      </c>
      <c r="O2375" s="3" t="inlineStr">
        <is>
          <t>세종몽땅</t>
        </is>
      </c>
      <c r="P2375" s="4" t="n">
        <v>1</v>
      </c>
      <c r="Q2375" s="4" t="n">
        <v>801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대교리 228-24</t>
        </is>
      </c>
      <c r="B2376" s="3" t="inlineStr">
        <is>
          <t>보전관리지역</t>
        </is>
      </c>
      <c r="C2376" s="3" t="inlineStr">
        <is>
          <t>대</t>
        </is>
      </c>
      <c r="D2376" s="3" t="inlineStr">
        <is>
          <t>대</t>
        </is>
      </c>
      <c r="E2376" s="3" t="inlineStr">
        <is>
          <t>매매</t>
        </is>
      </c>
      <c r="F2376" s="4" t="n">
        <v>60000</v>
      </c>
      <c r="G2376" s="4" t="n">
        <v>853</v>
      </c>
      <c r="H2376" s="4" t="n">
        <v>258</v>
      </c>
      <c r="I2376" s="5" t="n">
        <v>232.6</v>
      </c>
      <c r="J2376" s="5" t="n">
        <v>151.2</v>
      </c>
      <c r="K2376" s="3" t="inlineStr">
        <is>
          <t>전원주택지 이니지오 입구에 위치한 모양 좋은 땅  전용 면적 기준</t>
        </is>
      </c>
      <c r="L2376" s="6">
        <f>HYPERLINK("https://fin.land.naver.com/articles/2656182256", "매물Link")</f>
        <v/>
      </c>
      <c r="M2376" s="6">
        <f>HYPERLINK("https://map.naver.com/p/search/장군면 대교리 228-24", "지도Link")</f>
        <v/>
      </c>
      <c r="N2376" s="6">
        <f>HYPERLINK("http://www.eum.go.kr/web/ar/lu/luLandDet.jsp?pnu=3611035023102280024&amp;isNoScr=script&amp;mode=search", "토지이음")</f>
        <v/>
      </c>
      <c r="O2376" s="3" t="inlineStr">
        <is>
          <t>세종공주원탑</t>
        </is>
      </c>
      <c r="P2376" s="4" t="n">
        <v>1</v>
      </c>
      <c r="Q2376" s="4" t="n">
        <v>853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대교리 228-32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75000</v>
      </c>
      <c r="G2377" s="4" t="n">
        <v>1328</v>
      </c>
      <c r="H2377" s="4" t="n">
        <v>402</v>
      </c>
      <c r="I2377" s="5" t="n">
        <v>186.6</v>
      </c>
      <c r="J2377" s="5" t="n">
        <v>151.2</v>
      </c>
      <c r="K2377" s="3" t="inlineStr">
        <is>
          <t>초급매,지대가 높은 공원연접 조망권뷰최상,넓은평수,명품이니지오 택지</t>
        </is>
      </c>
      <c r="L2377" s="6">
        <f>HYPERLINK("https://fin.land.naver.com/articles/2653853857", "매물Link")</f>
        <v/>
      </c>
      <c r="M2377" s="6">
        <f>HYPERLINK("https://map.naver.com/p/search/장군면 대교리 228-32", "지도Link")</f>
        <v/>
      </c>
      <c r="N2377" s="6">
        <f>HYPERLINK("http://www.eum.go.kr/web/ar/lu/luLandDet.jsp?pnu=3611035023102280032&amp;isNoScr=script&amp;mode=search", "토지이음")</f>
        <v/>
      </c>
      <c r="O2377" s="3" t="inlineStr">
        <is>
          <t>고운맘</t>
        </is>
      </c>
      <c r="P2377" s="4" t="n">
        <v>1</v>
      </c>
      <c r="Q2377" s="4" t="n">
        <v>875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대교리 228-32</t>
        </is>
      </c>
      <c r="B2378" s="3" t="inlineStr">
        <is>
          <t>보전관리지역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75000</v>
      </c>
      <c r="G2378" s="4" t="n">
        <v>876</v>
      </c>
      <c r="H2378" s="4" t="n">
        <v>265</v>
      </c>
      <c r="I2378" s="5" t="n">
        <v>283</v>
      </c>
      <c r="J2378" s="5" t="n">
        <v>151.2</v>
      </c>
      <c r="K2378" s="3" t="inlineStr">
        <is>
          <t>nan</t>
        </is>
      </c>
      <c r="L2378" s="6">
        <f>HYPERLINK("https://fin.land.naver.com/articles/2654942200", "매물Link")</f>
        <v/>
      </c>
      <c r="M2378" s="6">
        <f>HYPERLINK("https://map.naver.com/p/search/장군면 대교리 228-32", "지도Link")</f>
        <v/>
      </c>
      <c r="N2378" s="6">
        <f>HYPERLINK("http://www.eum.go.kr/web/ar/lu/luLandDet.jsp?pnu=3611035023102280032&amp;isNoScr=script&amp;mode=search", "토지이음")</f>
        <v/>
      </c>
      <c r="O2378" s="3" t="inlineStr">
        <is>
          <t>세종신한</t>
        </is>
      </c>
      <c r="P2378" s="4" t="n">
        <v>1</v>
      </c>
      <c r="Q2378" s="4" t="n">
        <v>875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대교리 228-83</t>
        </is>
      </c>
      <c r="B2379" s="3" t="inlineStr">
        <is>
          <t>보전관리지역</t>
        </is>
      </c>
      <c r="C2379" s="3" t="inlineStr">
        <is>
          <t>대</t>
        </is>
      </c>
      <c r="D2379" s="3" t="inlineStr">
        <is>
          <t>대</t>
        </is>
      </c>
      <c r="E2379" s="3" t="inlineStr">
        <is>
          <t>매매</t>
        </is>
      </c>
      <c r="F2379" s="4" t="n">
        <v>110000</v>
      </c>
      <c r="G2379" s="4" t="n">
        <v>823</v>
      </c>
      <c r="H2379" s="4" t="n">
        <v>249</v>
      </c>
      <c r="I2379" s="5" t="n">
        <v>441.8</v>
      </c>
      <c r="J2379" s="5" t="n">
        <v>151.2</v>
      </c>
      <c r="K2379" s="3" t="inlineStr">
        <is>
          <t>이니지오 단독주택지</t>
        </is>
      </c>
      <c r="L2379" s="6">
        <f>HYPERLINK("https://fin.land.naver.com/articles/2655208593", "매물Link")</f>
        <v/>
      </c>
      <c r="M2379" s="6">
        <f>HYPERLINK("https://map.naver.com/p/search/장군면 대교리 228-83", "지도Link")</f>
        <v/>
      </c>
      <c r="N2379" s="6">
        <f>HYPERLINK("http://www.eum.go.kr/web/ar/lu/luLandDet.jsp?pnu=3611035023102280083&amp;isNoScr=script&amp;mode=search", "토지이음")</f>
        <v/>
      </c>
      <c r="O2379" s="3" t="inlineStr">
        <is>
          <t>세종몽땅</t>
        </is>
      </c>
      <c r="P2379" s="4" t="n">
        <v>1</v>
      </c>
      <c r="Q2379" s="4" t="n">
        <v>823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대교리 234</t>
        </is>
      </c>
      <c r="B2380" s="3" t="inlineStr">
        <is>
          <t>보전관리지역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110000</v>
      </c>
      <c r="G2380" s="4" t="n">
        <v>2281</v>
      </c>
      <c r="H2380" s="4" t="n">
        <v>690</v>
      </c>
      <c r="I2380" s="5" t="n">
        <v>159.4</v>
      </c>
      <c r="J2380" s="5" t="n">
        <v>20.6</v>
      </c>
      <c r="K2380" s="3" t="inlineStr">
        <is>
          <t>정부세종청사에서 15분 거리에 있고, 풍광이 뛰어난 토지입니다.</t>
        </is>
      </c>
      <c r="L2380" s="6">
        <f>HYPERLINK("https://fin.land.naver.com/articles/2655842988", "매물Link")</f>
        <v/>
      </c>
      <c r="M2380" s="6">
        <f>HYPERLINK("https://map.naver.com/p/search/장군면 대교리 234", "지도Link")</f>
        <v/>
      </c>
      <c r="N2380" s="6">
        <f>HYPERLINK("http://www.eum.go.kr/web/ar/lu/luLandDet.jsp?pnu=3611035023102340000&amp;isNoScr=script&amp;mode=search", "토지이음")</f>
        <v/>
      </c>
      <c r="O2380" s="3" t="inlineStr">
        <is>
          <t>다모아</t>
        </is>
      </c>
      <c r="P2380" s="4" t="n">
        <v>1</v>
      </c>
      <c r="Q2380" s="4" t="n">
        <v>2281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급경사</t>
        </is>
      </c>
      <c r="U2380" s="3" t="inlineStr">
        <is>
          <t>부정형</t>
        </is>
      </c>
      <c r="V2380" s="3" t="inlineStr">
        <is>
          <t>세로한면(불)</t>
        </is>
      </c>
    </row>
    <row r="2381">
      <c r="A2381" s="3" t="inlineStr">
        <is>
          <t>장군면 대교리 253-1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205000</v>
      </c>
      <c r="G2381" s="4" t="n">
        <v>16958</v>
      </c>
      <c r="H2381" s="4" t="n">
        <v>5130</v>
      </c>
      <c r="I2381" s="5" t="n">
        <v>40</v>
      </c>
      <c r="J2381" s="5" t="n">
        <v>10.1</v>
      </c>
      <c r="K2381" s="3" t="inlineStr">
        <is>
          <t>임야 , 면적 5,130P, 단독주택, 노유자시설 가능,적극협의가능</t>
        </is>
      </c>
      <c r="L2381" s="6">
        <f>HYPERLINK("https://fin.land.naver.com/articles/2656180518", "매물Link")</f>
        <v/>
      </c>
      <c r="M2381" s="6">
        <f>HYPERLINK("https://map.naver.com/p/search/장군면 대교리 253-1", "지도Link")</f>
        <v/>
      </c>
      <c r="N2381" s="6">
        <f>HYPERLINK("http://www.eum.go.kr/web/ar/lu/luLandDet.jsp?pnu=3611035023102530001&amp;isNoScr=script&amp;mode=search", "토지이음")</f>
        <v/>
      </c>
      <c r="O2381" s="3" t="inlineStr">
        <is>
          <t>승리</t>
        </is>
      </c>
      <c r="P2381" s="4" t="n">
        <v>1</v>
      </c>
      <c r="Q2381" s="4" t="n">
        <v>16958</v>
      </c>
      <c r="R2381" s="3" t="inlineStr">
        <is>
          <t>지정되지않음</t>
        </is>
      </c>
      <c r="S2381" s="3" t="inlineStr">
        <is>
          <t>자연림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대교리 253-3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35000</v>
      </c>
      <c r="G2382" s="4" t="n">
        <v>5124</v>
      </c>
      <c r="H2382" s="4" t="n">
        <v>1550</v>
      </c>
      <c r="I2382" s="5" t="n">
        <v>22.6</v>
      </c>
      <c r="J2382" s="5" t="n">
        <v>9.6</v>
      </c>
      <c r="K2382" s="3" t="inlineStr">
        <is>
          <t>세종시 임야를 찾으시면 추천해요</t>
        </is>
      </c>
      <c r="L2382" s="6">
        <f>HYPERLINK("https://fin.land.naver.com/articles/2651561327", "매물Link")</f>
        <v/>
      </c>
      <c r="M2382" s="6">
        <f>HYPERLINK("https://map.naver.com/p/search/장군면 대교리 253-3", "지도Link")</f>
        <v/>
      </c>
      <c r="N2382" s="6">
        <f>HYPERLINK("http://www.eum.go.kr/web/ar/lu/luLandDet.jsp?pnu=3611035023102530003&amp;isNoScr=script&amp;mode=search", "토지이음")</f>
        <v/>
      </c>
      <c r="O2382" s="3" t="inlineStr">
        <is>
          <t>숭어리탑</t>
        </is>
      </c>
      <c r="P2382" s="4" t="n">
        <v>1</v>
      </c>
      <c r="Q2382" s="4" t="n">
        <v>5124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맹지</t>
        </is>
      </c>
    </row>
    <row r="2383">
      <c r="A2383" s="3" t="inlineStr">
        <is>
          <t>장군면 대교리 323-10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35300</v>
      </c>
      <c r="G2383" s="4" t="n">
        <v>595</v>
      </c>
      <c r="H2383" s="4" t="n">
        <v>180</v>
      </c>
      <c r="I2383" s="5" t="n">
        <v>196.1</v>
      </c>
      <c r="J2383" s="5" t="n">
        <v>101.2</v>
      </c>
      <c r="K2383" s="3" t="inlineStr">
        <is>
          <t>전원주택 단지 조성된 곳</t>
        </is>
      </c>
      <c r="L2383" s="6">
        <f>HYPERLINK("https://fin.land.naver.com/articles/2656082772", "매물Link")</f>
        <v/>
      </c>
      <c r="M2383" s="6">
        <f>HYPERLINK("https://map.naver.com/p/search/장군면 대교리 323-10", "지도Link")</f>
        <v/>
      </c>
      <c r="N2383" s="6">
        <f>HYPERLINK("http://www.eum.go.kr/web/ar/lu/luLandDet.jsp?pnu=3611035023103230010&amp;isNoScr=script&amp;mode=search", "토지이음")</f>
        <v/>
      </c>
      <c r="O2383" s="3" t="inlineStr">
        <is>
          <t>나릿재OK</t>
        </is>
      </c>
      <c r="P2383" s="4" t="n">
        <v>1</v>
      </c>
      <c r="Q2383" s="4" t="n">
        <v>595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대교리 335-71</t>
        </is>
      </c>
      <c r="B2384" s="3" t="inlineStr">
        <is>
          <t>보전관리지역</t>
        </is>
      </c>
      <c r="C2384" s="3" t="inlineStr">
        <is>
          <t>대</t>
        </is>
      </c>
      <c r="D2384" s="3" t="inlineStr">
        <is>
          <t>대</t>
        </is>
      </c>
      <c r="E2384" s="3" t="inlineStr">
        <is>
          <t>매매</t>
        </is>
      </c>
      <c r="F2384" s="4" t="n">
        <v>40000</v>
      </c>
      <c r="G2384" s="4" t="n">
        <v>567</v>
      </c>
      <c r="H2384" s="4" t="n">
        <v>172</v>
      </c>
      <c r="I2384" s="5" t="n">
        <v>232.6</v>
      </c>
      <c r="J2384" s="5" t="n">
        <v>113.2</v>
      </c>
      <c r="K2384" s="3" t="inlineStr">
        <is>
          <t>급매,지대가 높아 막힘없는 조망권뷰 최상, 김종서장군묘소 인접</t>
        </is>
      </c>
      <c r="L2384" s="6">
        <f>HYPERLINK("https://fin.land.naver.com/articles/2653221852", "매물Link")</f>
        <v/>
      </c>
      <c r="M2384" s="6">
        <f>HYPERLINK("https://map.naver.com/p/search/장군면 대교리 335-71", "지도Link")</f>
        <v/>
      </c>
      <c r="N2384" s="6">
        <f>HYPERLINK("http://www.eum.go.kr/web/ar/lu/luLandDet.jsp?pnu=3611035023103350071&amp;isNoScr=script&amp;mode=search",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567</v>
      </c>
      <c r="R2384" s="3" t="inlineStr">
        <is>
          <t>생산관리지역</t>
        </is>
      </c>
      <c r="S2384" s="3" t="inlineStr">
        <is>
          <t>단독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대교리 335-8</t>
        </is>
      </c>
      <c r="B2385" s="3" t="inlineStr">
        <is>
          <t>생산관리지역</t>
        </is>
      </c>
      <c r="C2385" s="3" t="inlineStr">
        <is>
          <t>목장용지</t>
        </is>
      </c>
      <c r="D2385" s="3" t="inlineStr">
        <is>
          <t>목장용지</t>
        </is>
      </c>
      <c r="E2385" s="3" t="inlineStr">
        <is>
          <t>매매</t>
        </is>
      </c>
      <c r="F2385" s="4" t="n">
        <v>30000</v>
      </c>
      <c r="G2385" s="4" t="n">
        <v>442</v>
      </c>
      <c r="H2385" s="4" t="n">
        <v>134</v>
      </c>
      <c r="I2385" s="5" t="n">
        <v>223.9</v>
      </c>
      <c r="J2385" s="5" t="n">
        <v>117.7</v>
      </c>
      <c r="K2385" s="3" t="inlineStr">
        <is>
          <t>투자가치높은 지역 . 전기,수도 시설 건축허가되어있음,</t>
        </is>
      </c>
      <c r="L2385" s="6">
        <f>HYPERLINK("https://fin.land.naver.com/articles/2656245575", "매물Link")</f>
        <v/>
      </c>
      <c r="M2385" s="6">
        <f>HYPERLINK("https://map.naver.com/p/search/장군면 대교리 335-8", "지도Link")</f>
        <v/>
      </c>
      <c r="N2385" s="6">
        <f>HYPERLINK("http://www.eum.go.kr/web/ar/lu/luLandDet.jsp?pnu=3611035023103350008&amp;isNoScr=script&amp;mode=search", "토지이음")</f>
        <v/>
      </c>
      <c r="O2385" s="3" t="inlineStr">
        <is>
          <t>보람뜰</t>
        </is>
      </c>
      <c r="P2385" s="4" t="n">
        <v>1</v>
      </c>
      <c r="Q2385" s="4" t="n">
        <v>442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대교리 335-8</t>
        </is>
      </c>
      <c r="B2386" s="3" t="inlineStr">
        <is>
          <t>생산관리지역</t>
        </is>
      </c>
      <c r="C2386" s="3" t="inlineStr">
        <is>
          <t>목장용지</t>
        </is>
      </c>
      <c r="D2386" s="3" t="inlineStr">
        <is>
          <t>목장용지</t>
        </is>
      </c>
      <c r="E2386" s="3" t="inlineStr">
        <is>
          <t>매매</t>
        </is>
      </c>
      <c r="F2386" s="4" t="n">
        <v>30000</v>
      </c>
      <c r="G2386" s="4" t="n">
        <v>442</v>
      </c>
      <c r="H2386" s="4" t="n">
        <v>134</v>
      </c>
      <c r="I2386" s="5" t="n">
        <v>223.9</v>
      </c>
      <c r="J2386" s="5" t="n">
        <v>117.7</v>
      </c>
      <c r="K2386" s="3" t="inlineStr">
        <is>
          <t>허가된 가설 건축물 수도 이입 텃 밭으로 이용 해누리 마을 초입</t>
        </is>
      </c>
      <c r="L2386" s="6">
        <f>HYPERLINK("https://fin.land.naver.com/articles/2651414014", "매물Link")</f>
        <v/>
      </c>
      <c r="M2386" s="6">
        <f>HYPERLINK("https://map.naver.com/p/search/장군면 대교리 335-8", "지도Link")</f>
        <v/>
      </c>
      <c r="N2386" s="6">
        <f>HYPERLINK("http://www.eum.go.kr/web/ar/lu/luLandDet.jsp?pnu=3611035023103350008&amp;isNoScr=script&amp;mode=search", "토지이음")</f>
        <v/>
      </c>
      <c r="O2386" s="3" t="inlineStr">
        <is>
          <t>세종공주원탑</t>
        </is>
      </c>
      <c r="P2386" s="4" t="n">
        <v>1</v>
      </c>
      <c r="Q2386" s="4" t="n">
        <v>442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대교리 336</t>
        </is>
      </c>
      <c r="B2387" s="3" t="inlineStr">
        <is>
          <t>생산관리지역</t>
        </is>
      </c>
      <c r="C2387" s="3" t="inlineStr">
        <is>
          <t>답</t>
        </is>
      </c>
      <c r="D2387" s="3" t="inlineStr">
        <is>
          <t>전</t>
        </is>
      </c>
      <c r="E2387" s="3" t="inlineStr">
        <is>
          <t>매매</t>
        </is>
      </c>
      <c r="F2387" s="4" t="n">
        <v>75000</v>
      </c>
      <c r="G2387" s="4" t="n">
        <v>1484</v>
      </c>
      <c r="H2387" s="4" t="n">
        <v>449</v>
      </c>
      <c r="I2387" s="5" t="n">
        <v>167</v>
      </c>
      <c r="J2387" s="5" t="n">
        <v>53.4</v>
      </c>
      <c r="K2387" s="3" t="inlineStr">
        <is>
          <t>김종서장군묘지인근 개발및투자하기 좋은토지</t>
        </is>
      </c>
      <c r="L2387" s="6">
        <f>HYPERLINK("https://fin.land.naver.com/articles/2652293198", "매물Link")</f>
        <v/>
      </c>
      <c r="M2387" s="6">
        <f>HYPERLINK("https://map.naver.com/p/search/장군면 대교리 336", "지도Link")</f>
        <v/>
      </c>
      <c r="N2387" s="6">
        <f>HYPERLINK("http://www.eum.go.kr/web/ar/lu/luLandDet.jsp?pnu=3611035023103360000&amp;isNoScr=script&amp;mode=search", "토지이음")</f>
        <v/>
      </c>
      <c r="O2387" s="3" t="inlineStr">
        <is>
          <t>세종강남</t>
        </is>
      </c>
      <c r="P2387" s="4" t="n">
        <v>1</v>
      </c>
      <c r="Q2387" s="4" t="n">
        <v>1484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대교리 338-3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60000</v>
      </c>
      <c r="G2388" s="4" t="n">
        <v>579</v>
      </c>
      <c r="H2388" s="4" t="n">
        <v>175</v>
      </c>
      <c r="I2388" s="5" t="n">
        <v>342.9</v>
      </c>
      <c r="J2388" s="5" t="n">
        <v>142.9</v>
      </c>
      <c r="K2388" s="3" t="inlineStr">
        <is>
          <t>해누리 전원마을 입구 계획관리 토지매매</t>
        </is>
      </c>
      <c r="L2388" s="6">
        <f>HYPERLINK("https://fin.land.naver.com/articles/2652025581", "매물Link")</f>
        <v/>
      </c>
      <c r="M2388" s="6">
        <f>HYPERLINK("https://map.naver.com/p/search/장군면 대교리 338-3", "지도Link")</f>
        <v/>
      </c>
      <c r="N2388" s="6">
        <f>HYPERLINK("http://www.eum.go.kr/web/ar/lu/luLandDet.jsp?pnu=3611035023103380003&amp;isNoScr=script&amp;mode=search", "토지이음")</f>
        <v/>
      </c>
      <c r="O2388" s="3" t="inlineStr">
        <is>
          <t>에이스</t>
        </is>
      </c>
      <c r="P2388" s="4" t="n">
        <v>1</v>
      </c>
      <c r="Q2388" s="4" t="n">
        <v>561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대교리 338-6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50000</v>
      </c>
      <c r="G2389" s="4" t="n">
        <v>660</v>
      </c>
      <c r="H2389" s="4" t="n">
        <v>200</v>
      </c>
      <c r="I2389" s="5" t="n">
        <v>250</v>
      </c>
      <c r="J2389" s="5" t="n">
        <v>104.3</v>
      </c>
      <c r="K2389" s="3" t="inlineStr">
        <is>
          <t>대교리 잘조성된 전원주택지</t>
        </is>
      </c>
      <c r="L2389" s="6">
        <f>HYPERLINK("https://fin.land.naver.com/articles/2653836335", "매물Link")</f>
        <v/>
      </c>
      <c r="M2389" s="6">
        <f>HYPERLINK("https://map.naver.com/p/search/장군면 대교리 338-6", "지도Link")</f>
        <v/>
      </c>
      <c r="N2389" s="6">
        <f>HYPERLINK("http://www.eum.go.kr/web/ar/lu/luLandDet.jsp?pnu=3611035023103380006&amp;isNoScr=script&amp;mode=search",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660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대교리 347</t>
        </is>
      </c>
      <c r="B2390" s="3" t="inlineStr">
        <is>
          <t>농림지역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17000</v>
      </c>
      <c r="G2390" s="4" t="n">
        <v>671</v>
      </c>
      <c r="H2390" s="4" t="n">
        <v>203</v>
      </c>
      <c r="I2390" s="5" t="n">
        <v>83.7</v>
      </c>
      <c r="J2390" s="5" t="n">
        <v>31</v>
      </c>
      <c r="K2390" s="3" t="inlineStr">
        <is>
          <t>신도시인접 주말농장 등등 인접지 토지 같이 매매가능</t>
        </is>
      </c>
      <c r="L2390" s="6">
        <f>HYPERLINK("https://fin.land.naver.com/articles/2653051728", "매물Link")</f>
        <v/>
      </c>
      <c r="M2390" s="6">
        <f>HYPERLINK("https://map.naver.com/p/search/장군면 대교리 347", "지도Link")</f>
        <v/>
      </c>
      <c r="N2390" s="6">
        <f>HYPERLINK("http://www.eum.go.kr/web/ar/lu/luLandDet.jsp?pnu=3611035023103470000&amp;isNoScr=script&amp;mode=search", "토지이음")</f>
        <v/>
      </c>
      <c r="O2390" s="3" t="inlineStr">
        <is>
          <t>세종강남</t>
        </is>
      </c>
      <c r="P2390" s="4" t="n">
        <v>1</v>
      </c>
      <c r="Q2390" s="4" t="n">
        <v>671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평지</t>
        </is>
      </c>
      <c r="U2390" s="3" t="inlineStr">
        <is>
          <t>사다리형</t>
        </is>
      </c>
      <c r="V2390" s="3" t="inlineStr">
        <is>
          <t>맹지</t>
        </is>
      </c>
    </row>
    <row r="2391">
      <c r="A2391" s="3" t="inlineStr">
        <is>
          <t>장군면 대교리 348</t>
        </is>
      </c>
      <c r="B2391" s="3" t="inlineStr">
        <is>
          <t>농림지역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47000</v>
      </c>
      <c r="G2391" s="4" t="n">
        <v>499</v>
      </c>
      <c r="H2391" s="4" t="n">
        <v>151</v>
      </c>
      <c r="I2391" s="5" t="n">
        <v>311.3</v>
      </c>
      <c r="J2391" s="5" t="n">
        <v>35.3</v>
      </c>
      <c r="K2391" s="3" t="inlineStr">
        <is>
          <t>가격조정가능</t>
        </is>
      </c>
      <c r="L2391" s="6">
        <f>HYPERLINK("https://fin.land.naver.com/articles/2652479249", "매물Link")</f>
        <v/>
      </c>
      <c r="M2391" s="6">
        <f>HYPERLINK("https://map.naver.com/p/search/장군면 대교리 348", "지도Link")</f>
        <v/>
      </c>
      <c r="N2391" s="6">
        <f>HYPERLINK("http://www.eum.go.kr/web/ar/lu/luLandDet.jsp?pnu=3611035023103480000&amp;isNoScr=script&amp;mode=search", "토지이음")</f>
        <v/>
      </c>
      <c r="O2391" s="3" t="inlineStr">
        <is>
          <t>그래그</t>
        </is>
      </c>
      <c r="P2391" s="4" t="n">
        <v>2</v>
      </c>
      <c r="Q2391" s="4" t="n">
        <v>499</v>
      </c>
      <c r="R2391" s="3" t="inlineStr">
        <is>
          <t>지정되지않음</t>
        </is>
      </c>
      <c r="S2391" s="3" t="inlineStr">
        <is>
          <t>전기타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대교리 348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30200</v>
      </c>
      <c r="G2392" s="4" t="n">
        <v>499</v>
      </c>
      <c r="H2392" s="4" t="n">
        <v>151</v>
      </c>
      <c r="I2392" s="5" t="n">
        <v>200</v>
      </c>
      <c r="J2392" s="5" t="n">
        <v>35.3</v>
      </c>
      <c r="K2392" s="3" t="inlineStr">
        <is>
          <t>지대가 높아 뷰가 좋은 위치,한옥주택 및 김종서장군묘소 인접,4필지 매매</t>
        </is>
      </c>
      <c r="L2392" s="6">
        <f>HYPERLINK("https://fin.land.naver.com/articles/2655577711", "매물Link")</f>
        <v/>
      </c>
      <c r="M2392" s="6">
        <f>HYPERLINK("https://map.naver.com/p/search/장군면 대교리 348", "지도Link")</f>
        <v/>
      </c>
      <c r="N2392" s="6">
        <f>HYPERLINK("http://www.eum.go.kr/web/ar/lu/luLandDet.jsp?pnu=3611035023103480000&amp;isNoScr=script&amp;mode=search", "토지이음")</f>
        <v/>
      </c>
      <c r="O2392" s="3" t="inlineStr">
        <is>
          <t>고운맘</t>
        </is>
      </c>
      <c r="P2392" s="4" t="n">
        <v>1</v>
      </c>
      <c r="Q2392" s="4" t="n">
        <v>499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대교리 348-1</t>
        </is>
      </c>
      <c r="B2393" s="3" t="inlineStr">
        <is>
          <t>농림지역</t>
        </is>
      </c>
      <c r="C2393" s="3" t="inlineStr">
        <is>
          <t>전</t>
        </is>
      </c>
      <c r="D2393" s="3" t="inlineStr">
        <is>
          <t>대</t>
        </is>
      </c>
      <c r="E2393" s="3" t="inlineStr">
        <is>
          <t>매매</t>
        </is>
      </c>
      <c r="F2393" s="4" t="n">
        <v>28000</v>
      </c>
      <c r="G2393" s="4" t="n">
        <v>516</v>
      </c>
      <c r="H2393" s="4" t="n">
        <v>156</v>
      </c>
      <c r="I2393" s="5" t="n">
        <v>179.5</v>
      </c>
      <c r="J2393" s="5" t="n">
        <v>35.3</v>
      </c>
      <c r="K2393" s="3" t="inlineStr">
        <is>
          <t>근생부지허가난 토지,가격조율</t>
        </is>
      </c>
      <c r="L2393" s="6">
        <f>HYPERLINK("https://fin.land.naver.com/articles/2654851939", "매물Link")</f>
        <v/>
      </c>
      <c r="M2393" s="6">
        <f>HYPERLINK("https://map.naver.com/p/search/장군면 대교리 348-1", "지도Link")</f>
        <v/>
      </c>
      <c r="N2393" s="6">
        <f>HYPERLINK("http://www.eum.go.kr/web/ar/lu/luLandDet.jsp?pnu=3611035023103480001&amp;isNoScr=script&amp;mode=search", "토지이음")</f>
        <v/>
      </c>
      <c r="O2393" s="3" t="inlineStr">
        <is>
          <t>담뜰</t>
        </is>
      </c>
      <c r="P2393" s="4" t="n">
        <v>2</v>
      </c>
      <c r="Q2393" s="4" t="n">
        <v>516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대교리 348-4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39000</v>
      </c>
      <c r="G2394" s="4" t="n">
        <v>710</v>
      </c>
      <c r="H2394" s="4" t="n">
        <v>215</v>
      </c>
      <c r="I2394" s="5" t="n">
        <v>181.4</v>
      </c>
      <c r="J2394" s="5" t="n">
        <v>35.3</v>
      </c>
      <c r="K2394" s="3" t="inlineStr">
        <is>
          <t>가격조정가능</t>
        </is>
      </c>
      <c r="L2394" s="6">
        <f>HYPERLINK("https://fin.land.naver.com/articles/2654384477", "매물Link")</f>
        <v/>
      </c>
      <c r="M2394" s="6">
        <f>HYPERLINK("https://map.naver.com/p/search/장군면 대교리 348-4", "지도Link")</f>
        <v/>
      </c>
      <c r="N2394" s="6">
        <f>HYPERLINK("http://www.eum.go.kr/web/ar/lu/luLandDet.jsp?pnu=3611035023103480004&amp;isNoScr=script&amp;mode=search", "토지이음")</f>
        <v/>
      </c>
      <c r="O2394" s="3" t="inlineStr">
        <is>
          <t>그래그</t>
        </is>
      </c>
      <c r="P2394" s="4" t="n">
        <v>1</v>
      </c>
      <c r="Q2394" s="4" t="n">
        <v>710</v>
      </c>
      <c r="R2394" s="3" t="inlineStr">
        <is>
          <t>지정되지않음</t>
        </is>
      </c>
      <c r="S2394" s="3" t="inlineStr">
        <is>
          <t>전기타</t>
        </is>
      </c>
      <c r="T2394" s="3" t="inlineStr">
        <is>
          <t>평지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대교리 348-6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28000</v>
      </c>
      <c r="G2395" s="4" t="n">
        <v>511</v>
      </c>
      <c r="H2395" s="4" t="n">
        <v>155</v>
      </c>
      <c r="I2395" s="5" t="n">
        <v>180.6</v>
      </c>
      <c r="J2395" s="5" t="n">
        <v>35.3</v>
      </c>
      <c r="K2395" s="3" t="inlineStr">
        <is>
          <t>가격조정가능</t>
        </is>
      </c>
      <c r="L2395" s="6">
        <f>HYPERLINK("https://fin.land.naver.com/articles/2652481467", "매물Link")</f>
        <v/>
      </c>
      <c r="M2395" s="6">
        <f>HYPERLINK("https://map.naver.com/p/search/장군면 대교리 348-6", "지도Link")</f>
        <v/>
      </c>
      <c r="N2395" s="6">
        <f>HYPERLINK("http://www.eum.go.kr/web/ar/lu/luLandDet.jsp?pnu=3611035023103480006&amp;isNoScr=script&amp;mode=search", "토지이음")</f>
        <v/>
      </c>
      <c r="O2395" s="3" t="inlineStr">
        <is>
          <t>그래그</t>
        </is>
      </c>
      <c r="P2395" s="4" t="n">
        <v>1</v>
      </c>
      <c r="Q2395" s="4" t="n">
        <v>511</v>
      </c>
      <c r="R2395" s="3" t="inlineStr">
        <is>
          <t>지정되지않음</t>
        </is>
      </c>
      <c r="S2395" s="3" t="inlineStr">
        <is>
          <t>전기타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대교리 349-1</t>
        </is>
      </c>
      <c r="B2396" s="3" t="inlineStr">
        <is>
          <t>농림지역</t>
        </is>
      </c>
      <c r="C2396" s="3" t="inlineStr">
        <is>
          <t>목장용지</t>
        </is>
      </c>
      <c r="D2396" s="3" t="inlineStr">
        <is>
          <t>목장용지</t>
        </is>
      </c>
      <c r="E2396" s="3" t="inlineStr">
        <is>
          <t>매매</t>
        </is>
      </c>
      <c r="F2396" s="4" t="n">
        <v>54000</v>
      </c>
      <c r="G2396" s="4" t="n">
        <v>636</v>
      </c>
      <c r="H2396" s="4" t="n">
        <v>192</v>
      </c>
      <c r="I2396" s="5" t="n">
        <v>281.2</v>
      </c>
      <c r="J2396" s="5" t="n">
        <v>40.2</v>
      </c>
      <c r="K2396" s="3" t="inlineStr">
        <is>
          <t>공유지분포함216P 목장용지 진입도로유 투자가치최고 적극조율</t>
        </is>
      </c>
      <c r="L2396" s="6">
        <f>HYPERLINK("https://fin.land.naver.com/articles/2651200267", "매물Link")</f>
        <v/>
      </c>
      <c r="M2396" s="6">
        <f>HYPERLINK("https://map.naver.com/p/search/장군면 대교리 349-1", "지도Link")</f>
        <v/>
      </c>
      <c r="N2396" s="6">
        <f>HYPERLINK("http://www.eum.go.kr/web/ar/lu/luLandDet.jsp?pnu=3611035023103490001&amp;isNoScr=script&amp;mode=search", "토지이음")</f>
        <v/>
      </c>
      <c r="O2396" s="3" t="inlineStr">
        <is>
          <t>세종대왕</t>
        </is>
      </c>
      <c r="P2396" s="4" t="n">
        <v>1</v>
      </c>
      <c r="Q2396" s="4" t="n">
        <v>636</v>
      </c>
      <c r="R2396" s="3" t="inlineStr">
        <is>
          <t>지정되지않음</t>
        </is>
      </c>
      <c r="S2396" s="3" t="inlineStr">
        <is>
          <t>전축사</t>
        </is>
      </c>
      <c r="T2396" s="3" t="inlineStr">
        <is>
          <t>평지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대교리 349-5</t>
        </is>
      </c>
      <c r="B2397" s="3" t="inlineStr">
        <is>
          <t>농림지역</t>
        </is>
      </c>
      <c r="C2397" s="3" t="inlineStr">
        <is>
          <t>목장용지</t>
        </is>
      </c>
      <c r="D2397" s="3" t="inlineStr">
        <is>
          <t>목장용지</t>
        </is>
      </c>
      <c r="E2397" s="3" t="inlineStr">
        <is>
          <t>매매</t>
        </is>
      </c>
      <c r="F2397" s="4" t="n">
        <v>56000</v>
      </c>
      <c r="G2397" s="4" t="n">
        <v>663</v>
      </c>
      <c r="H2397" s="4" t="n">
        <v>201</v>
      </c>
      <c r="I2397" s="5" t="n">
        <v>278.6</v>
      </c>
      <c r="J2397" s="5" t="n">
        <v>40.2</v>
      </c>
      <c r="K2397" s="3" t="inlineStr">
        <is>
          <t>공유지분포함224P 목장용지 진입도로유 투자가치최고 적극조율</t>
        </is>
      </c>
      <c r="L2397" s="6">
        <f>HYPERLINK("https://fin.land.naver.com/articles/2651199778", "매물Link")</f>
        <v/>
      </c>
      <c r="M2397" s="6">
        <f>HYPERLINK("https://map.naver.com/p/search/장군면 대교리 349-5", "지도Link")</f>
        <v/>
      </c>
      <c r="N2397" s="6">
        <f>HYPERLINK("http://www.eum.go.kr/web/ar/lu/luLandDet.jsp?pnu=3611035023103490005&amp;isNoScr=script&amp;mode=search", "토지이음")</f>
        <v/>
      </c>
      <c r="O2397" s="3" t="inlineStr">
        <is>
          <t>세종대왕</t>
        </is>
      </c>
      <c r="P2397" s="4" t="n">
        <v>1</v>
      </c>
      <c r="Q2397" s="4" t="n">
        <v>663</v>
      </c>
      <c r="R2397" s="3" t="inlineStr">
        <is>
          <t>지정되지않음</t>
        </is>
      </c>
      <c r="S2397" s="3" t="inlineStr">
        <is>
          <t>전축사</t>
        </is>
      </c>
      <c r="T2397" s="3" t="inlineStr">
        <is>
          <t>평지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대교리 354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120000</v>
      </c>
      <c r="G2398" s="4" t="n">
        <v>2261</v>
      </c>
      <c r="H2398" s="4" t="n">
        <v>684</v>
      </c>
      <c r="I2398" s="5" t="n">
        <v>175.4</v>
      </c>
      <c r="J2398" s="5" t="n">
        <v>35.3</v>
      </c>
      <c r="K2398" s="3" t="inlineStr">
        <is>
          <t>nan</t>
        </is>
      </c>
      <c r="L2398" s="6">
        <f>HYPERLINK("https://fin.land.naver.com/articles/2655691176", "매물Link")</f>
        <v/>
      </c>
      <c r="M2398" s="6">
        <f>HYPERLINK("https://map.naver.com/p/search/장군면 대교리 354", "지도Link")</f>
        <v/>
      </c>
      <c r="N2398" s="6">
        <f>HYPERLINK("http://www.eum.go.kr/web/ar/lu/luLandDet.jsp?pnu=3611035023103540000&amp;isNoScr=script&amp;mode=search",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2261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대교리 370-22</t>
        </is>
      </c>
      <c r="B2399" s="3" t="inlineStr">
        <is>
          <t>보전관리지역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50000</v>
      </c>
      <c r="G2399" s="4" t="n">
        <v>647</v>
      </c>
      <c r="H2399" s="4" t="n">
        <v>196</v>
      </c>
      <c r="I2399" s="5" t="n">
        <v>255.1</v>
      </c>
      <c r="J2399" s="5" t="n">
        <v>153.3</v>
      </c>
      <c r="K2399" s="3" t="inlineStr">
        <is>
          <t>급매,코너각지,조망권뷰 최상,김종서장군묘소 인접,가격조정가능</t>
        </is>
      </c>
      <c r="L2399" s="6">
        <f>HYPERLINK("https://fin.land.naver.com/articles/2654645725", "매물Link")</f>
        <v/>
      </c>
      <c r="M2399" s="6">
        <f>HYPERLINK("https://map.naver.com/p/search/장군면 대교리 370-22", "지도Link")</f>
        <v/>
      </c>
      <c r="N2399" s="6">
        <f>HYPERLINK("http://www.eum.go.kr/web/ar/lu/luLandDet.jsp?pnu=3611035023103700022&amp;isNoScr=script&amp;mode=search", "토지이음")</f>
        <v/>
      </c>
      <c r="O2399" s="3" t="inlineStr">
        <is>
          <t>고운맘</t>
        </is>
      </c>
      <c r="P2399" s="4" t="n">
        <v>1</v>
      </c>
      <c r="Q2399" s="4" t="n">
        <v>490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대교리 370-23</t>
        </is>
      </c>
      <c r="B2400" s="3" t="inlineStr">
        <is>
          <t>보전관리지역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470</v>
      </c>
      <c r="H2400" s="4" t="n">
        <v>142</v>
      </c>
      <c r="I2400" s="5" t="n">
        <v>246.5</v>
      </c>
      <c r="J2400" s="5" t="n">
        <v>153.3</v>
      </c>
      <c r="K2400" s="3" t="inlineStr">
        <is>
          <t>초급매,지대가 높아 뷰가 좋은 위치,김종서장군묘소인접,코너</t>
        </is>
      </c>
      <c r="L2400" s="6">
        <f>HYPERLINK("https://fin.land.naver.com/articles/2653857048", "매물Link")</f>
        <v/>
      </c>
      <c r="M2400" s="6">
        <f>HYPERLINK("https://map.naver.com/p/search/장군면 대교리 370-23", "지도Link")</f>
        <v/>
      </c>
      <c r="N2400" s="6">
        <f>HYPERLINK("http://www.eum.go.kr/web/ar/lu/luLandDet.jsp?pnu=3611035023103700023&amp;isNoScr=script&amp;mode=search",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470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대교리 370-23</t>
        </is>
      </c>
      <c r="B2401" s="3" t="inlineStr">
        <is>
          <t>보전관리지역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35000</v>
      </c>
      <c r="G2401" s="4" t="n">
        <v>470</v>
      </c>
      <c r="H2401" s="4" t="n">
        <v>142</v>
      </c>
      <c r="I2401" s="5" t="n">
        <v>246.5</v>
      </c>
      <c r="J2401" s="5" t="n">
        <v>153.3</v>
      </c>
      <c r="K2401" s="3" t="inlineStr">
        <is>
          <t>nan</t>
        </is>
      </c>
      <c r="L2401" s="6">
        <f>HYPERLINK("https://fin.land.naver.com/articles/2651584502", "매물Link")</f>
        <v/>
      </c>
      <c r="M2401" s="6">
        <f>HYPERLINK("https://map.naver.com/p/search/장군면 대교리 370-23", "지도Link")</f>
        <v/>
      </c>
      <c r="N2401" s="6">
        <f>HYPERLINK("http://www.eum.go.kr/web/ar/lu/luLandDet.jsp?pnu=3611035023103700023&amp;isNoScr=script&amp;mode=search",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470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소로한면</t>
        </is>
      </c>
    </row>
    <row r="2402">
      <c r="A2402" s="3" t="inlineStr">
        <is>
          <t>장군면 대교리 370-56</t>
        </is>
      </c>
      <c r="B2402" s="3" t="inlineStr">
        <is>
          <t>보전관리지역</t>
        </is>
      </c>
      <c r="C2402" s="3" t="inlineStr">
        <is>
          <t>대</t>
        </is>
      </c>
      <c r="D2402" s="3" t="inlineStr">
        <is>
          <t>대</t>
        </is>
      </c>
      <c r="E2402" s="3" t="inlineStr">
        <is>
          <t>매매</t>
        </is>
      </c>
      <c r="F2402" s="4" t="n">
        <v>45000</v>
      </c>
      <c r="G2402" s="4" t="n">
        <v>540</v>
      </c>
      <c r="H2402" s="4" t="n">
        <v>163</v>
      </c>
      <c r="I2402" s="5" t="n">
        <v>276.1</v>
      </c>
      <c r="J2402" s="5" t="n">
        <v>153.3</v>
      </c>
      <c r="K2402" s="3" t="inlineStr">
        <is>
          <t>nan</t>
        </is>
      </c>
      <c r="L2402" s="6">
        <f>HYPERLINK("https://fin.land.naver.com/articles/2652480617", "매물Link")</f>
        <v/>
      </c>
      <c r="M2402" s="6">
        <f>HYPERLINK("https://map.naver.com/p/search/장군면 대교리 370-56", "지도Link")</f>
        <v/>
      </c>
      <c r="N2402" s="6">
        <f>HYPERLINK("http://www.eum.go.kr/web/ar/lu/luLandDet.jsp?pnu=3611035023103700056&amp;isNoScr=script&amp;mode=search", "토지이음")</f>
        <v/>
      </c>
      <c r="O2402" s="3" t="inlineStr">
        <is>
          <t>그래그</t>
        </is>
      </c>
      <c r="P2402" s="4" t="n">
        <v>2</v>
      </c>
      <c r="Q2402" s="4" t="n">
        <v>540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소로한면</t>
        </is>
      </c>
    </row>
    <row r="2403">
      <c r="A2403" s="3" t="inlineStr">
        <is>
          <t>장군면 대교리 370-56</t>
        </is>
      </c>
      <c r="B2403" s="3" t="inlineStr">
        <is>
          <t>보전관리지역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50000</v>
      </c>
      <c r="G2403" s="4" t="n">
        <v>715</v>
      </c>
      <c r="H2403" s="4" t="n">
        <v>216</v>
      </c>
      <c r="I2403" s="5" t="n">
        <v>231.5</v>
      </c>
      <c r="J2403" s="5" t="n">
        <v>153.3</v>
      </c>
      <c r="K2403" s="3" t="inlineStr">
        <is>
          <t>세종그르노블 단독주택지</t>
        </is>
      </c>
      <c r="L2403" s="6">
        <f>HYPERLINK("https://fin.land.naver.com/articles/2652350731", "매물Link")</f>
        <v/>
      </c>
      <c r="M2403" s="6">
        <f>HYPERLINK("https://map.naver.com/p/search/장군면 대교리 370-56", "지도Link")</f>
        <v/>
      </c>
      <c r="N2403" s="6">
        <f>HYPERLINK("http://www.eum.go.kr/web/ar/lu/luLandDet.jsp?pnu=3611035023103700056&amp;isNoScr=script&amp;mode=search",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540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대교리 370-56</t>
        </is>
      </c>
      <c r="B2404" s="3" t="inlineStr">
        <is>
          <t>보전관리지역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40000</v>
      </c>
      <c r="G2404" s="4" t="n">
        <v>540</v>
      </c>
      <c r="H2404" s="4" t="n">
        <v>163</v>
      </c>
      <c r="I2404" s="5" t="n">
        <v>245.4</v>
      </c>
      <c r="J2404" s="5" t="n">
        <v>153.3</v>
      </c>
      <c r="K2404" s="3" t="inlineStr">
        <is>
          <t>급매,지대가 높아 뷰가 좋은 위치,김종서장군묘소인접,코너각지</t>
        </is>
      </c>
      <c r="L2404" s="6">
        <f>HYPERLINK("https://fin.land.naver.com/articles/2656215572", "매물Link")</f>
        <v/>
      </c>
      <c r="M2404" s="6">
        <f>HYPERLINK("https://map.naver.com/p/search/장군면 대교리 370-56", "지도Link")</f>
        <v/>
      </c>
      <c r="N2404" s="6">
        <f>HYPERLINK("http://www.eum.go.kr/web/ar/lu/luLandDet.jsp?pnu=3611035023103700056&amp;isNoScr=script&amp;mode=search", "토지이음")</f>
        <v/>
      </c>
      <c r="O2404" s="3" t="inlineStr">
        <is>
          <t>고운맘</t>
        </is>
      </c>
      <c r="P2404" s="4" t="n">
        <v>1</v>
      </c>
      <c r="Q2404" s="4" t="n">
        <v>540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소로한면</t>
        </is>
      </c>
    </row>
    <row r="2405">
      <c r="A2405" s="3" t="inlineStr">
        <is>
          <t>장군면 대교리 379-1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221500</v>
      </c>
      <c r="G2405" s="4" t="n">
        <v>2092</v>
      </c>
      <c r="H2405" s="4" t="n">
        <v>633</v>
      </c>
      <c r="I2405" s="5" t="n">
        <v>349.9</v>
      </c>
      <c r="J2405" s="5" t="n">
        <v>55.7</v>
      </c>
      <c r="K2405" s="3" t="inlineStr">
        <is>
          <t>카페 등 근생 강추 다양한 용도로 가능(김종서 테마공원 입구)</t>
        </is>
      </c>
      <c r="L2405" s="6">
        <f>HYPERLINK("https://fin.land.naver.com/articles/2653340163", "매물Link")</f>
        <v/>
      </c>
      <c r="M2405" s="6">
        <f>HYPERLINK("https://map.naver.com/p/search/장군면 대교리 379-1", "지도Link")</f>
        <v/>
      </c>
      <c r="N2405" s="6">
        <f>HYPERLINK("http://www.eum.go.kr/web/ar/lu/luLandDet.jsp?pnu=3611035023103790001&amp;isNoScr=script&amp;mode=search", "토지이음")</f>
        <v/>
      </c>
      <c r="O2405" s="3" t="inlineStr">
        <is>
          <t>상상</t>
        </is>
      </c>
      <c r="P2405" s="4" t="n">
        <v>1</v>
      </c>
      <c r="Q2405" s="4" t="n">
        <v>2092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평지</t>
        </is>
      </c>
      <c r="U2405" s="3" t="inlineStr">
        <is>
          <t>부정형</t>
        </is>
      </c>
      <c r="V2405" s="3" t="inlineStr">
        <is>
          <t>세로한면(불)</t>
        </is>
      </c>
    </row>
    <row r="2406">
      <c r="A2406" s="3" t="inlineStr">
        <is>
          <t>장군면 대교리 403-10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61000</v>
      </c>
      <c r="G2406" s="4" t="n">
        <v>873</v>
      </c>
      <c r="H2406" s="4" t="n">
        <v>264</v>
      </c>
      <c r="I2406" s="5" t="n">
        <v>231.1</v>
      </c>
      <c r="J2406" s="5" t="n">
        <v>137.3</v>
      </c>
      <c r="K2406" s="3" t="inlineStr">
        <is>
          <t>세종시 인접한 전원주택지</t>
        </is>
      </c>
      <c r="L2406" s="6">
        <f>HYPERLINK("https://fin.land.naver.com/articles/2654279727", "매물Link")</f>
        <v/>
      </c>
      <c r="M2406" s="6">
        <f>HYPERLINK("https://map.naver.com/p/search/장군면 대교리 403-10", "지도Link")</f>
        <v/>
      </c>
      <c r="N2406" s="6">
        <f>HYPERLINK("http://www.eum.go.kr/web/ar/lu/luLandDet.jsp?pnu=3611035023104030010&amp;isNoScr=script&amp;mode=search", "토지이음")</f>
        <v/>
      </c>
      <c r="O2406" s="3" t="inlineStr">
        <is>
          <t>바다하리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세로한면(가)</t>
        </is>
      </c>
    </row>
    <row r="2407">
      <c r="A2407" s="3" t="inlineStr">
        <is>
          <t>장군면 대교리 403-13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37000</v>
      </c>
      <c r="G2407" s="4" t="n">
        <v>506</v>
      </c>
      <c r="H2407" s="4" t="n">
        <v>153</v>
      </c>
      <c r="I2407" s="5" t="n">
        <v>241.8</v>
      </c>
      <c r="J2407" s="5" t="n">
        <v>102.1</v>
      </c>
      <c r="K2407" s="3" t="inlineStr">
        <is>
          <t>급매.세종 생활권 가까워 투자가치와 활용도 높은 토지</t>
        </is>
      </c>
      <c r="L2407" s="6">
        <f>HYPERLINK("https://fin.land.naver.com/articles/2655600208", "매물Link")</f>
        <v/>
      </c>
      <c r="M2407" s="6">
        <f>HYPERLINK("https://map.naver.com/p/search/장군면 대교리 403-13", "지도Link")</f>
        <v/>
      </c>
      <c r="N2407" s="6">
        <f>HYPERLINK("http://www.eum.go.kr/web/ar/lu/luLandDet.jsp?pnu=3611035023104030013&amp;isNoScr=script&amp;mode=search", "토지이음")</f>
        <v/>
      </c>
      <c r="O2407" s="3" t="inlineStr">
        <is>
          <t>가치잇는</t>
        </is>
      </c>
      <c r="P2407" s="4" t="n">
        <v>2</v>
      </c>
      <c r="Q2407" s="4" t="n">
        <v>506</v>
      </c>
      <c r="R2407" s="3" t="inlineStr">
        <is>
          <t>지정되지않음</t>
        </is>
      </c>
      <c r="S2407" s="3" t="inlineStr">
        <is>
          <t>전기타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대교리 403-13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37000</v>
      </c>
      <c r="G2408" s="4" t="n">
        <v>506</v>
      </c>
      <c r="H2408" s="4" t="n">
        <v>153</v>
      </c>
      <c r="I2408" s="5" t="n">
        <v>241.8</v>
      </c>
      <c r="J2408" s="5" t="n">
        <v>102.1</v>
      </c>
      <c r="K2408" s="3" t="inlineStr">
        <is>
          <t>세종 신도심부근  접근성 좋음, 투자가치 높음</t>
        </is>
      </c>
      <c r="L2408" s="6">
        <f>HYPERLINK("https://fin.land.naver.com/articles/2653866297", "매물Link")</f>
        <v/>
      </c>
      <c r="M2408" s="6">
        <f>HYPERLINK("https://map.naver.com/p/search/장군면 대교리 403-13", "지도Link")</f>
        <v/>
      </c>
      <c r="N2408" s="6">
        <f>HYPERLINK("http://www.eum.go.kr/web/ar/lu/luLandDet.jsp?pnu=3611035023104030013&amp;isNoScr=script&amp;mode=search", "토지이음")</f>
        <v/>
      </c>
      <c r="O2408" s="3" t="inlineStr">
        <is>
          <t>세종제일</t>
        </is>
      </c>
      <c r="P2408" s="4" t="n">
        <v>1</v>
      </c>
      <c r="Q2408" s="4" t="n">
        <v>506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대교리 406-2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17500</v>
      </c>
      <c r="G2409" s="4" t="n">
        <v>276</v>
      </c>
      <c r="H2409" s="4" t="n">
        <v>83</v>
      </c>
      <c r="I2409" s="5" t="n">
        <v>210.8</v>
      </c>
      <c r="J2409" s="5" t="n">
        <v>141.6</v>
      </c>
      <c r="K2409" s="3" t="inlineStr">
        <is>
          <t>주말농장 으로 활용하셔도 되요</t>
        </is>
      </c>
      <c r="L2409" s="6">
        <f>HYPERLINK("https://fin.land.naver.com/articles/2652096528", "매물Link")</f>
        <v/>
      </c>
      <c r="M2409" s="6">
        <f>HYPERLINK("https://map.naver.com/p/search/장군면 대교리 406-2", "지도Link")</f>
        <v/>
      </c>
      <c r="N2409" s="6">
        <f>HYPERLINK("http://www.eum.go.kr/web/ar/lu/luLandDet.jsp?pnu=3611035023104060002&amp;isNoScr=script&amp;mode=search", "토지이음")</f>
        <v/>
      </c>
      <c r="O2409" s="3" t="inlineStr">
        <is>
          <t>지호주식회사</t>
        </is>
      </c>
      <c r="P2409" s="4" t="n">
        <v>1</v>
      </c>
      <c r="Q2409" s="4" t="n">
        <v>276</v>
      </c>
      <c r="R2409" s="3" t="inlineStr">
        <is>
          <t>지정되지않음</t>
        </is>
      </c>
      <c r="S2409" s="3" t="inlineStr">
        <is>
          <t>주거나지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대교리 420-11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137000</v>
      </c>
      <c r="G2410" s="4" t="n">
        <v>4097</v>
      </c>
      <c r="H2410" s="4" t="n">
        <v>1239</v>
      </c>
      <c r="I2410" s="5" t="n">
        <v>110.6</v>
      </c>
      <c r="J2410" s="5" t="n">
        <v>40.7</v>
      </c>
      <c r="K2410" s="3" t="inlineStr">
        <is>
          <t>대교리 도로에접한 농림지 답</t>
        </is>
      </c>
      <c r="L2410" s="6">
        <f>HYPERLINK("https://fin.land.naver.com/articles/2655764920", "매물Link")</f>
        <v/>
      </c>
      <c r="M2410" s="6">
        <f>HYPERLINK("https://map.naver.com/p/search/장군면 대교리 420-11", "지도Link")</f>
        <v/>
      </c>
      <c r="N2410" s="6">
        <f>HYPERLINK("http://www.eum.go.kr/web/ar/lu/luLandDet.jsp?pnu=3611035023104200011&amp;isNoScr=script&amp;mode=search",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3001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가로장방</t>
        </is>
      </c>
      <c r="V2410" s="3" t="inlineStr">
        <is>
          <t>세로한면(가)</t>
        </is>
      </c>
    </row>
    <row r="2411">
      <c r="A2411" s="3" t="inlineStr">
        <is>
          <t>장군면 대교리 433-13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109000</v>
      </c>
      <c r="G2411" s="4" t="n">
        <v>1803</v>
      </c>
      <c r="H2411" s="4" t="n">
        <v>545</v>
      </c>
      <c r="I2411" s="5" t="n">
        <v>200</v>
      </c>
      <c r="J2411" s="5" t="n">
        <v>44.7</v>
      </c>
      <c r="K2411" s="3" t="inlineStr">
        <is>
          <t>김종서장군 역사테마공원 인근 도로에 2면 접한 토지</t>
        </is>
      </c>
      <c r="L2411" s="6">
        <f>HYPERLINK("https://fin.land.naver.com/articles/2652100664", "매물Link")</f>
        <v/>
      </c>
      <c r="M2411" s="6">
        <f>HYPERLINK("https://map.naver.com/p/search/장군면 대교리 433-13", "지도Link")</f>
        <v/>
      </c>
      <c r="N2411" s="6">
        <f>HYPERLINK("http://www.eum.go.kr/web/ar/lu/luLandDet.jsp?pnu=3611035023104330013&amp;isNoScr=script&amp;mode=search", "토지이음")</f>
        <v/>
      </c>
      <c r="O2411" s="3" t="inlineStr">
        <is>
          <t>미스터홈즈강남지사</t>
        </is>
      </c>
      <c r="P2411" s="4" t="n">
        <v>1</v>
      </c>
      <c r="Q2411" s="4" t="n">
        <v>1803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정방형</t>
        </is>
      </c>
      <c r="V2411" s="3" t="inlineStr">
        <is>
          <t>세로각지(가)</t>
        </is>
      </c>
    </row>
    <row r="2412">
      <c r="A2412" s="3" t="inlineStr">
        <is>
          <t>장군면 대교리 433-13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87000</v>
      </c>
      <c r="G2412" s="4" t="n">
        <v>1803</v>
      </c>
      <c r="H2412" s="4" t="n">
        <v>545</v>
      </c>
      <c r="I2412" s="5" t="n">
        <v>159.6</v>
      </c>
      <c r="J2412" s="5" t="n">
        <v>44.7</v>
      </c>
      <c r="K2412" s="3" t="inlineStr">
        <is>
          <t>김종서장군 역사테마공원 가는길 도로변 농림지역 토지</t>
        </is>
      </c>
      <c r="L2412" s="6">
        <f>HYPERLINK("https://fin.land.naver.com/articles/2656063188", "매물Link")</f>
        <v/>
      </c>
      <c r="M2412" s="6">
        <f>HYPERLINK("https://map.naver.com/p/search/장군면 대교리 433-13", "지도Link")</f>
        <v/>
      </c>
      <c r="N2412" s="6">
        <f>HYPERLINK("http://www.eum.go.kr/web/ar/lu/luLandDet.jsp?pnu=3611035023104330013&amp;isNoScr=script&amp;mode=search",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1803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정방형</t>
        </is>
      </c>
      <c r="V2412" s="3" t="inlineStr">
        <is>
          <t>세로각지(가)</t>
        </is>
      </c>
    </row>
    <row r="2413">
      <c r="A2413" s="3" t="inlineStr">
        <is>
          <t>장군면 대교리 437</t>
        </is>
      </c>
      <c r="B2413" s="3" t="inlineStr">
        <is>
          <t>계획관리지역</t>
        </is>
      </c>
      <c r="C2413" s="3" t="inlineStr">
        <is>
          <t>목장용지</t>
        </is>
      </c>
      <c r="D2413" s="3" t="inlineStr">
        <is>
          <t>목장용지</t>
        </is>
      </c>
      <c r="E2413" s="3" t="inlineStr">
        <is>
          <t>매매</t>
        </is>
      </c>
      <c r="F2413" s="4" t="n">
        <v>247000</v>
      </c>
      <c r="G2413" s="4" t="n">
        <v>2731</v>
      </c>
      <c r="H2413" s="4" t="n">
        <v>826</v>
      </c>
      <c r="I2413" s="5" t="n">
        <v>299</v>
      </c>
      <c r="J2413" s="5" t="n">
        <v>88.40000000000001</v>
      </c>
      <c r="K2413" s="3" t="inlineStr">
        <is>
          <t>대형베이커리카페 음식점 전원주택등 추천</t>
        </is>
      </c>
      <c r="L2413" s="6">
        <f>HYPERLINK("https://fin.land.naver.com/articles/2655286295", "매물Link")</f>
        <v/>
      </c>
      <c r="M2413" s="6">
        <f>HYPERLINK("https://map.naver.com/p/search/장군면 대교리 437", "지도Link")</f>
        <v/>
      </c>
      <c r="N2413" s="6">
        <f>HYPERLINK("http://www.eum.go.kr/web/ar/lu/luLandDet.jsp?pnu=3611035023104370000&amp;isNoScr=script&amp;mode=search", "토지이음")</f>
        <v/>
      </c>
      <c r="O2413" s="3" t="inlineStr">
        <is>
          <t>경민</t>
        </is>
      </c>
      <c r="P2413" s="4" t="n">
        <v>2</v>
      </c>
      <c r="Q2413" s="4" t="n">
        <v>2731</v>
      </c>
      <c r="R2413" s="3" t="inlineStr">
        <is>
          <t>지정되지않음</t>
        </is>
      </c>
      <c r="S2413" s="3" t="inlineStr">
        <is>
          <t>답축사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대교리 437</t>
        </is>
      </c>
      <c r="B2414" s="3" t="inlineStr">
        <is>
          <t>계획관리지역</t>
        </is>
      </c>
      <c r="C2414" s="3" t="inlineStr">
        <is>
          <t>목장용지</t>
        </is>
      </c>
      <c r="D2414" s="3" t="inlineStr">
        <is>
          <t>목장용지</t>
        </is>
      </c>
      <c r="E2414" s="3" t="inlineStr">
        <is>
          <t>매매</t>
        </is>
      </c>
      <c r="F2414" s="4" t="n">
        <v>247000</v>
      </c>
      <c r="G2414" s="4" t="n">
        <v>2731</v>
      </c>
      <c r="H2414" s="4" t="n">
        <v>826</v>
      </c>
      <c r="I2414" s="5" t="n">
        <v>299</v>
      </c>
      <c r="J2414" s="5" t="n">
        <v>88.40000000000001</v>
      </c>
      <c r="K2414" s="3" t="inlineStr">
        <is>
          <t>지가상승및 투자가치 있는 장군면 김종서장군묘역인근 토지 매매</t>
        </is>
      </c>
      <c r="L2414" s="6">
        <f>HYPERLINK("https://fin.land.naver.com/articles/2656397403", "매물Link")</f>
        <v/>
      </c>
      <c r="M2414" s="6">
        <f>HYPERLINK("https://map.naver.com/p/search/장군면 대교리 437", "지도Link")</f>
        <v/>
      </c>
      <c r="N2414" s="6">
        <f>HYPERLINK("http://www.eum.go.kr/web/ar/lu/luLandDet.jsp?pnu=3611035023104370000&amp;isNoScr=script&amp;mode=search", "토지이음")</f>
        <v/>
      </c>
      <c r="O2414" s="3" t="inlineStr">
        <is>
          <t>리슈빌대주</t>
        </is>
      </c>
      <c r="P2414" s="4" t="n">
        <v>1</v>
      </c>
      <c r="Q2414" s="4" t="n">
        <v>2731</v>
      </c>
      <c r="R2414" s="3" t="inlineStr">
        <is>
          <t>지정되지않음</t>
        </is>
      </c>
      <c r="S2414" s="3" t="inlineStr">
        <is>
          <t>답축사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대교리 451-9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31000</v>
      </c>
      <c r="G2415" s="4" t="n">
        <v>1977</v>
      </c>
      <c r="H2415" s="4" t="n">
        <v>598</v>
      </c>
      <c r="I2415" s="5" t="n">
        <v>51.8</v>
      </c>
      <c r="J2415" s="5" t="n">
        <v>27.2</v>
      </c>
      <c r="K2415" s="3" t="inlineStr">
        <is>
          <t>조절가능 세종시 임야를 찾으시면 연락주세요</t>
        </is>
      </c>
      <c r="L2415" s="6">
        <f>HYPERLINK("https://fin.land.naver.com/articles/2654335677", "매물Link")</f>
        <v/>
      </c>
      <c r="M2415" s="6">
        <f>HYPERLINK("https://map.naver.com/p/search/장군면 대교리 451-9", "지도Link")</f>
        <v/>
      </c>
      <c r="N2415" s="6">
        <f>HYPERLINK("http://www.eum.go.kr/web/ar/lu/luLandDet.jsp?pnu=3611035023104510009&amp;isNoScr=script&amp;mode=search", "토지이음")</f>
        <v/>
      </c>
      <c r="O2415" s="3" t="inlineStr">
        <is>
          <t>숭어리탑</t>
        </is>
      </c>
      <c r="P2415" s="4" t="n">
        <v>1</v>
      </c>
      <c r="Q2415" s="4" t="n">
        <v>1977</v>
      </c>
      <c r="R2415" s="3" t="inlineStr">
        <is>
          <t>지정되지않음</t>
        </is>
      </c>
      <c r="S2415" s="3" t="inlineStr">
        <is>
          <t>자연림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대교리 457-2</t>
        </is>
      </c>
      <c r="B2416" s="3" t="inlineStr">
        <is>
          <t>농림지역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92500</v>
      </c>
      <c r="G2416" s="4" t="n">
        <v>2550</v>
      </c>
      <c r="H2416" s="4" t="n">
        <v>771</v>
      </c>
      <c r="I2416" s="5" t="n">
        <v>120</v>
      </c>
      <c r="J2416" s="5" t="n">
        <v>69.2</v>
      </c>
      <c r="K2416" s="3" t="inlineStr">
        <is>
          <t>2차선 도로 접하고 신도시 인접한 지가상승 토지</t>
        </is>
      </c>
      <c r="L2416" s="6">
        <f>HYPERLINK("https://fin.land.naver.com/articles/2655840613", "매물Link")</f>
        <v/>
      </c>
      <c r="M2416" s="6">
        <f>HYPERLINK("https://map.naver.com/p/search/장군면 대교리 457-2", "지도Link")</f>
        <v/>
      </c>
      <c r="N2416" s="6">
        <f>HYPERLINK("http://www.eum.go.kr/web/ar/lu/luLandDet.jsp?pnu=3611035023104570002&amp;isNoScr=script&amp;mode=search", "토지이음")</f>
        <v/>
      </c>
      <c r="O2416" s="3" t="inlineStr">
        <is>
          <t>발품</t>
        </is>
      </c>
      <c r="P2416" s="4" t="n">
        <v>1</v>
      </c>
      <c r="Q2416" s="4" t="n">
        <v>2550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사다리형</t>
        </is>
      </c>
      <c r="V2416" s="3" t="inlineStr">
        <is>
          <t>소로각지</t>
        </is>
      </c>
    </row>
    <row r="2417">
      <c r="A2417" s="3" t="inlineStr">
        <is>
          <t>장군면 대교리 462-9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28000</v>
      </c>
      <c r="G2417" s="4" t="n">
        <v>827</v>
      </c>
      <c r="H2417" s="4" t="n">
        <v>250</v>
      </c>
      <c r="I2417" s="5" t="n">
        <v>112</v>
      </c>
      <c r="J2417" s="5" t="n">
        <v>27</v>
      </c>
      <c r="K2417" s="3" t="inlineStr">
        <is>
          <t>nan</t>
        </is>
      </c>
      <c r="L2417" s="6">
        <f>HYPERLINK("https://fin.land.naver.com/articles/2652747768", "매물Link")</f>
        <v/>
      </c>
      <c r="M2417" s="6">
        <f>HYPERLINK("https://map.naver.com/p/search/장군면 대교리 462-9", "지도Link")</f>
        <v/>
      </c>
      <c r="N2417" s="6">
        <f>HYPERLINK("http://www.eum.go.kr/web/ar/lu/luLandDet.jsp?pnu=3611035023104620009&amp;isNoScr=script&amp;mode=search", "토지이음")</f>
        <v/>
      </c>
      <c r="O2417" s="3" t="inlineStr">
        <is>
          <t>세종대평</t>
        </is>
      </c>
      <c r="P2417" s="4" t="n">
        <v>1</v>
      </c>
      <c r="Q2417" s="4" t="n">
        <v>827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자루형</t>
        </is>
      </c>
      <c r="V2417" s="3" t="inlineStr">
        <is>
          <t>맹지</t>
        </is>
      </c>
    </row>
    <row r="2418">
      <c r="A2418" s="3" t="inlineStr">
        <is>
          <t>장군면 대교리 463-3</t>
        </is>
      </c>
      <c r="B2418" s="3" t="inlineStr">
        <is>
          <t>농림지역</t>
        </is>
      </c>
      <c r="C2418" s="3" t="inlineStr">
        <is>
          <t>답</t>
        </is>
      </c>
      <c r="D2418" s="3" t="inlineStr">
        <is>
          <t>답</t>
        </is>
      </c>
      <c r="E2418" s="3" t="inlineStr">
        <is>
          <t>매매</t>
        </is>
      </c>
      <c r="F2418" s="4" t="n">
        <v>170000</v>
      </c>
      <c r="G2418" s="4" t="n">
        <v>3666</v>
      </c>
      <c r="H2418" s="4" t="n">
        <v>1109</v>
      </c>
      <c r="I2418" s="5" t="n">
        <v>153.3</v>
      </c>
      <c r="J2418" s="5" t="n">
        <v>68.5</v>
      </c>
      <c r="K2418" s="3" t="inlineStr">
        <is>
          <t>급매. 도로 연접. 세종 행복도시 2분.</t>
        </is>
      </c>
      <c r="L2418" s="6">
        <f>HYPERLINK("https://fin.land.naver.com/articles/2651225583", "매물Link")</f>
        <v/>
      </c>
      <c r="M2418" s="6">
        <f>HYPERLINK("https://map.naver.com/p/search/장군면 대교리 463-3", "지도Link")</f>
        <v/>
      </c>
      <c r="N2418" s="6">
        <f>HYPERLINK("http://www.eum.go.kr/web/ar/lu/luLandDet.jsp?pnu=3611035023104630003&amp;isNoScr=script&amp;mode=search", "토지이음")</f>
        <v/>
      </c>
      <c r="O2418" s="3" t="inlineStr">
        <is>
          <t>법조연합은온</t>
        </is>
      </c>
      <c r="P2418" s="4" t="n">
        <v>1</v>
      </c>
      <c r="Q2418" s="4" t="n">
        <v>3666</v>
      </c>
      <c r="R2418" s="3" t="inlineStr">
        <is>
          <t>지정되지않음</t>
        </is>
      </c>
      <c r="S2418" s="3" t="inlineStr">
        <is>
          <t>답</t>
        </is>
      </c>
      <c r="T2418" s="3" t="inlineStr">
        <is>
          <t>평지</t>
        </is>
      </c>
      <c r="U2418" s="3" t="inlineStr">
        <is>
          <t>세로장방</t>
        </is>
      </c>
      <c r="V2418" s="3" t="inlineStr">
        <is>
          <t>소로한면</t>
        </is>
      </c>
    </row>
    <row r="2419">
      <c r="A2419" s="3" t="inlineStr">
        <is>
          <t>장군면 대교리 478-2</t>
        </is>
      </c>
      <c r="B2419" s="3" t="inlineStr">
        <is>
          <t>농림지역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78650</v>
      </c>
      <c r="G2419" s="4" t="n">
        <v>2363</v>
      </c>
      <c r="H2419" s="4" t="n">
        <v>715</v>
      </c>
      <c r="I2419" s="5" t="n">
        <v>110</v>
      </c>
      <c r="J2419" s="5" t="n">
        <v>45.1</v>
      </c>
      <c r="K2419" s="3" t="inlineStr">
        <is>
          <t>2면도로접함 개발호재많음 농가주택가능</t>
        </is>
      </c>
      <c r="L2419" s="6">
        <f>HYPERLINK("https://fin.land.naver.com/articles/2654883002", "매물Link")</f>
        <v/>
      </c>
      <c r="M2419" s="6">
        <f>HYPERLINK("https://map.naver.com/p/search/장군면 대교리 478-2", "지도Link")</f>
        <v/>
      </c>
      <c r="N2419" s="6">
        <f>HYPERLINK("http://www.eum.go.kr/web/ar/lu/luLandDet.jsp?pnu=3611035023104780002&amp;isNoScr=script&amp;mode=search", "토지이음")</f>
        <v/>
      </c>
      <c r="O2419" s="3" t="inlineStr">
        <is>
          <t>세종마당</t>
        </is>
      </c>
      <c r="P2419" s="4" t="n">
        <v>1</v>
      </c>
      <c r="Q2419" s="4" t="n">
        <v>2363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세로장방</t>
        </is>
      </c>
      <c r="V2419" s="3" t="inlineStr">
        <is>
          <t>세로각지(가)</t>
        </is>
      </c>
    </row>
    <row r="2420">
      <c r="A2420" s="3" t="inlineStr">
        <is>
          <t>장군면 대교리 478-3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82000</v>
      </c>
      <c r="G2420" s="4" t="n">
        <v>2363</v>
      </c>
      <c r="H2420" s="4" t="n">
        <v>715</v>
      </c>
      <c r="I2420" s="5" t="n">
        <v>114.7</v>
      </c>
      <c r="J2420" s="5" t="n">
        <v>44.6</v>
      </c>
      <c r="K2420" s="3" t="inlineStr">
        <is>
          <t>농림지역 농가주택가능 개발호재지역</t>
        </is>
      </c>
      <c r="L2420" s="6">
        <f>HYPERLINK("https://fin.land.naver.com/articles/2651982067", "매물Link")</f>
        <v/>
      </c>
      <c r="M2420" s="6">
        <f>HYPERLINK("https://map.naver.com/p/search/장군면 대교리 478-3", "지도Link")</f>
        <v/>
      </c>
      <c r="N2420" s="6">
        <f>HYPERLINK("http://www.eum.go.kr/web/ar/lu/luLandDet.jsp?pnu=3611035023104780003&amp;isNoScr=script&amp;mode=search", "토지이음")</f>
        <v/>
      </c>
      <c r="O2420" s="3" t="inlineStr">
        <is>
          <t>세종마당</t>
        </is>
      </c>
      <c r="P2420" s="4" t="n">
        <v>2</v>
      </c>
      <c r="Q2420" s="4" t="n">
        <v>2467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대교리 479-3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3637</v>
      </c>
      <c r="H2421" s="4" t="n">
        <v>1100</v>
      </c>
      <c r="I2421" s="5" t="n">
        <v>100</v>
      </c>
      <c r="J2421" s="5" t="n">
        <v>43.2</v>
      </c>
      <c r="K2421" s="3" t="inlineStr">
        <is>
          <t>전원주택 및 투자, 대토, 다용도</t>
        </is>
      </c>
      <c r="L2421" s="6">
        <f>HYPERLINK("https://fin.land.naver.com/articles/2652276228", "매물Link")</f>
        <v/>
      </c>
      <c r="M2421" s="6">
        <f>HYPERLINK("https://map.naver.com/p/search/장군면 대교리 479-3", "지도Link")</f>
        <v/>
      </c>
      <c r="N2421" s="6">
        <f>HYPERLINK("http://www.eum.go.kr/web/ar/lu/luLandDet.jsp?pnu=3611035023104790003&amp;isNoScr=script&amp;mode=search", "토지이음")</f>
        <v/>
      </c>
      <c r="O2421" s="3" t="inlineStr">
        <is>
          <t>새땅</t>
        </is>
      </c>
      <c r="P2421" s="4" t="n">
        <v>1</v>
      </c>
      <c r="Q2421" s="4" t="n">
        <v>3637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정방형</t>
        </is>
      </c>
      <c r="V2421" s="3" t="inlineStr">
        <is>
          <t>세로한면(가)</t>
        </is>
      </c>
    </row>
    <row r="2422">
      <c r="A2422" s="3" t="inlineStr">
        <is>
          <t>장군면 대교리 483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87000</v>
      </c>
      <c r="G2422" s="4" t="n">
        <v>1597</v>
      </c>
      <c r="H2422" s="4" t="n">
        <v>483</v>
      </c>
      <c r="I2422" s="5" t="n">
        <v>180.1</v>
      </c>
      <c r="J2422" s="5" t="n">
        <v>84.90000000000001</v>
      </c>
      <c r="K2422" s="3" t="inlineStr">
        <is>
          <t>대교리 계획관리지역 토지매매</t>
        </is>
      </c>
      <c r="L2422" s="6">
        <f>HYPERLINK("https://fin.land.naver.com/articles/2652026105", "매물Link")</f>
        <v/>
      </c>
      <c r="M2422" s="6">
        <f>HYPERLINK("https://map.naver.com/p/search/장군면 대교리 483", "지도Link")</f>
        <v/>
      </c>
      <c r="N2422" s="6">
        <f>HYPERLINK("http://www.eum.go.kr/web/ar/lu/luLandDet.jsp?pnu=3611035023104830000&amp;isNoScr=script&amp;mode=search", "토지이음")</f>
        <v/>
      </c>
      <c r="O2422" s="3" t="inlineStr">
        <is>
          <t>에이스</t>
        </is>
      </c>
      <c r="P2422" s="4" t="n">
        <v>1</v>
      </c>
      <c r="Q2422" s="4" t="n">
        <v>1597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세로한면(불)</t>
        </is>
      </c>
    </row>
    <row r="2423">
      <c r="A2423" s="3" t="inlineStr">
        <is>
          <t>장군면 대교리 507-1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200000</v>
      </c>
      <c r="G2423" s="4" t="n">
        <v>3891</v>
      </c>
      <c r="H2423" s="4" t="n">
        <v>1177</v>
      </c>
      <c r="I2423" s="5" t="n">
        <v>169.9</v>
      </c>
      <c r="J2423" s="5" t="n">
        <v>91.40000000000001</v>
      </c>
      <c r="K2423" s="3" t="inlineStr">
        <is>
          <t>명성공인, 대교리 계획관리 추천 매물</t>
        </is>
      </c>
      <c r="L2423" s="6">
        <f>HYPERLINK("https://fin.land.naver.com/articles/2653841780", "매물Link")</f>
        <v/>
      </c>
      <c r="M2423" s="6">
        <f>HYPERLINK("https://map.naver.com/p/search/장군면 대교리 507-1", "지도Link")</f>
        <v/>
      </c>
      <c r="N2423" s="6">
        <f>HYPERLINK("http://www.eum.go.kr/web/ar/lu/luLandDet.jsp?pnu=3611035023105070001&amp;isNoScr=script&amp;mode=search", "토지이음")</f>
        <v/>
      </c>
      <c r="O2423" s="3" t="inlineStr">
        <is>
          <t>명성</t>
        </is>
      </c>
      <c r="P2423" s="4" t="n">
        <v>1</v>
      </c>
      <c r="Q2423" s="4" t="n">
        <v>1267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완경사</t>
        </is>
      </c>
      <c r="U2423" s="3" t="inlineStr">
        <is>
          <t>정방형</t>
        </is>
      </c>
      <c r="V2423" s="3" t="inlineStr">
        <is>
          <t>세로한면(가)</t>
        </is>
      </c>
    </row>
    <row r="2424">
      <c r="A2424" s="3" t="inlineStr">
        <is>
          <t>장군면 대교리 510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115250</v>
      </c>
      <c r="G2424" s="4" t="n">
        <v>1524</v>
      </c>
      <c r="H2424" s="4" t="n">
        <v>461</v>
      </c>
      <c r="I2424" s="5" t="n">
        <v>250</v>
      </c>
      <c r="J2424" s="5" t="n">
        <v>105.7</v>
      </c>
      <c r="K2424" s="3" t="inlineStr">
        <is>
          <t>돈이 필요 하셔서 급매도를 원하십니다  정말 좋은 땅</t>
        </is>
      </c>
      <c r="L2424" s="6">
        <f>HYPERLINK("https://fin.land.naver.com/articles/2651902425", "매물Link")</f>
        <v/>
      </c>
      <c r="M2424" s="6">
        <f>HYPERLINK("https://map.naver.com/p/search/장군면 대교리 510", "지도Link")</f>
        <v/>
      </c>
      <c r="N2424" s="6">
        <f>HYPERLINK("http://www.eum.go.kr/web/ar/lu/luLandDet.jsp?pnu=3611035023105100000&amp;isNoScr=script&amp;mode=search", "토지이음")</f>
        <v/>
      </c>
      <c r="O2424" s="3" t="inlineStr">
        <is>
          <t>세종골드삼성</t>
        </is>
      </c>
      <c r="P2424" s="4" t="n">
        <v>2</v>
      </c>
      <c r="Q2424" s="4" t="n">
        <v>1524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대교리 524-2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62700</v>
      </c>
      <c r="G2425" s="4" t="n">
        <v>1884</v>
      </c>
      <c r="H2425" s="4" t="n">
        <v>570</v>
      </c>
      <c r="I2425" s="5" t="n">
        <v>110</v>
      </c>
      <c r="J2425" s="5" t="n">
        <v>50.4</v>
      </c>
      <c r="K2425" s="3" t="inlineStr">
        <is>
          <t>급매 금액내림 대토강추 꼭 매도하려고 하는 농지입니다. 농업진흥구역.</t>
        </is>
      </c>
      <c r="L2425" s="6">
        <f>HYPERLINK("https://fin.land.naver.com/articles/2651154319", "매물Link")</f>
        <v/>
      </c>
      <c r="M2425" s="6">
        <f>HYPERLINK("https://map.naver.com/p/search/장군면 대교리 524-2", "지도Link")</f>
        <v/>
      </c>
      <c r="N2425" s="6">
        <f>HYPERLINK("http://www.eum.go.kr/web/ar/lu/luLandDet.jsp?pnu=3611035023105240002&amp;isNoScr=script&amp;mode=search",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1884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세로각지(가)</t>
        </is>
      </c>
    </row>
    <row r="2426">
      <c r="A2426" s="3" t="inlineStr">
        <is>
          <t>장군면 대교리 634-7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244500</v>
      </c>
      <c r="G2426" s="4" t="n">
        <v>1617</v>
      </c>
      <c r="H2426" s="4" t="n">
        <v>489</v>
      </c>
      <c r="I2426" s="5" t="n">
        <v>500</v>
      </c>
      <c r="J2426" s="5" t="n">
        <v>216</v>
      </c>
      <c r="K2426" s="3" t="inlineStr">
        <is>
          <t>대교천변 토지</t>
        </is>
      </c>
      <c r="L2426" s="6">
        <f>HYPERLINK("https://fin.land.naver.com/articles/2652271264", "매물Link")</f>
        <v/>
      </c>
      <c r="M2426" s="6">
        <f>HYPERLINK("https://map.naver.com/p/search/장군면 대교리 634-7", "지도Link")</f>
        <v/>
      </c>
      <c r="N2426" s="6">
        <f>HYPERLINK("http://www.eum.go.kr/web/ar/lu/luLandDet.jsp?pnu=3611035023106340007&amp;isNoScr=script&amp;mode=search", "토지이음")</f>
        <v/>
      </c>
      <c r="O2426" s="3" t="inlineStr">
        <is>
          <t>새땅</t>
        </is>
      </c>
      <c r="P2426" s="4" t="n">
        <v>1</v>
      </c>
      <c r="Q2426" s="4" t="n">
        <v>767</v>
      </c>
      <c r="R2426" s="3" t="inlineStr">
        <is>
          <t>지정되지않음</t>
        </is>
      </c>
      <c r="S2426" s="3" t="inlineStr">
        <is>
          <t>주거기타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대교리 74-25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120000</v>
      </c>
      <c r="G2427" s="4" t="n">
        <v>2981</v>
      </c>
      <c r="H2427" s="4" t="n">
        <v>902</v>
      </c>
      <c r="I2427" s="5" t="n">
        <v>133</v>
      </c>
      <c r="J2427" s="5" t="n">
        <v>106.8</v>
      </c>
      <c r="K2427" s="3" t="inlineStr">
        <is>
          <t>신도시가 내려다 보이는 국사봉마을 전원주택단지 마천루 토지</t>
        </is>
      </c>
      <c r="L2427" s="6">
        <f>HYPERLINK("https://fin.land.naver.com/articles/2654547440", "매물Link")</f>
        <v/>
      </c>
      <c r="M2427" s="6">
        <f>HYPERLINK("https://map.naver.com/p/search/장군면 대교리 74-25", "지도Link")</f>
        <v/>
      </c>
      <c r="N2427" s="6">
        <f>HYPERLINK("http://www.eum.go.kr/web/ar/lu/luLandDet.jsp?pnu=3611035023100740025&amp;isNoScr=script&amp;mode=search", "토지이음")</f>
        <v/>
      </c>
      <c r="O2427" s="3" t="inlineStr">
        <is>
          <t>온뜰</t>
        </is>
      </c>
      <c r="P2427" s="4" t="n">
        <v>2</v>
      </c>
      <c r="Q2427" s="4" t="n">
        <v>1523</v>
      </c>
      <c r="R2427" s="3" t="inlineStr">
        <is>
          <t>농림지역</t>
        </is>
      </c>
      <c r="S2427" s="3" t="inlineStr">
        <is>
          <t>단독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대교리 74-27</t>
        </is>
      </c>
      <c r="B2428" s="3" t="inlineStr">
        <is>
          <t>보전관리지역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43000</v>
      </c>
      <c r="G2428" s="4" t="n">
        <v>472</v>
      </c>
      <c r="H2428" s="4" t="n">
        <v>143</v>
      </c>
      <c r="I2428" s="5" t="n">
        <v>300.7</v>
      </c>
      <c r="J2428" s="5" t="n">
        <v>107.7</v>
      </c>
      <c r="K2428" s="3" t="inlineStr">
        <is>
          <t>nan</t>
        </is>
      </c>
      <c r="L2428" s="6">
        <f>HYPERLINK("https://fin.land.naver.com/articles/2652149349", "매물Link")</f>
        <v/>
      </c>
      <c r="M2428" s="6">
        <f>HYPERLINK("https://map.naver.com/p/search/장군면 대교리 74-27", "지도Link")</f>
        <v/>
      </c>
      <c r="N2428" s="6">
        <f>HYPERLINK("http://www.eum.go.kr/web/ar/lu/luLandDet.jsp?pnu=3611035023100740027&amp;isNoScr=script&amp;mode=search", "토지이음")</f>
        <v/>
      </c>
      <c r="O2428" s="3" t="inlineStr">
        <is>
          <t>해들일번지</t>
        </is>
      </c>
      <c r="P2428" s="4" t="n">
        <v>1</v>
      </c>
      <c r="Q2428" s="4" t="n">
        <v>430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대교리 74-42</t>
        </is>
      </c>
      <c r="B2429" s="3" t="inlineStr">
        <is>
          <t>보전관리지역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55000</v>
      </c>
      <c r="G2429" s="4" t="n">
        <v>1934</v>
      </c>
      <c r="H2429" s="4" t="n">
        <v>585</v>
      </c>
      <c r="I2429" s="5" t="n">
        <v>94</v>
      </c>
      <c r="J2429" s="5" t="n">
        <v>33.3</v>
      </c>
      <c r="K2429" s="3" t="inlineStr">
        <is>
          <t>세종신도시 고운동과  1.2km 떨어진 토지매매</t>
        </is>
      </c>
      <c r="L2429" s="6">
        <f>HYPERLINK("https://fin.land.naver.com/articles/2654514669", "매물Link")</f>
        <v/>
      </c>
      <c r="M2429" s="6">
        <f>HYPERLINK("https://map.naver.com/p/search/장군면 대교리 74-42", "지도Link")</f>
        <v/>
      </c>
      <c r="N2429" s="6">
        <f>HYPERLINK("http://www.eum.go.kr/web/ar/lu/luLandDet.jsp?pnu=3611035023100740042&amp;isNoScr=script&amp;mode=search", "토지이음")</f>
        <v/>
      </c>
      <c r="O2429" s="3" t="inlineStr">
        <is>
          <t>비전</t>
        </is>
      </c>
      <c r="P2429" s="4" t="n">
        <v>1</v>
      </c>
      <c r="Q2429" s="4" t="n">
        <v>1934</v>
      </c>
      <c r="R2429" s="3" t="inlineStr">
        <is>
          <t>지정되지않음</t>
        </is>
      </c>
      <c r="S2429" s="3" t="inlineStr">
        <is>
          <t>자연림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대교리 74-53</t>
        </is>
      </c>
      <c r="B2430" s="3" t="inlineStr">
        <is>
          <t>보전관리지역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18000</v>
      </c>
      <c r="G2430" s="4" t="n">
        <v>661</v>
      </c>
      <c r="H2430" s="4" t="n">
        <v>200</v>
      </c>
      <c r="I2430" s="5" t="n">
        <v>90</v>
      </c>
      <c r="J2430" s="5" t="n">
        <v>34.3</v>
      </c>
      <c r="K2430" s="3" t="inlineStr">
        <is>
          <t>세종시 고운동 근접 단독주택지 급매,주변에 단독주택 마을 있음</t>
        </is>
      </c>
      <c r="L2430" s="6">
        <f>HYPERLINK("https://fin.land.naver.com/articles/2654851244", "매물Link")</f>
        <v/>
      </c>
      <c r="M2430" s="6">
        <f>HYPERLINK("https://map.naver.com/p/search/장군면 대교리 74-53", "지도Link")</f>
        <v/>
      </c>
      <c r="N2430" s="6">
        <f>HYPERLINK("http://www.eum.go.kr/web/ar/lu/luLandDet.jsp?pnu=3611035023100740053&amp;isNoScr=script&amp;mode=search", "토지이음")</f>
        <v/>
      </c>
      <c r="O2430" s="3" t="inlineStr">
        <is>
          <t>담뜰</t>
        </is>
      </c>
      <c r="P2430" s="4" t="n">
        <v>1</v>
      </c>
      <c r="Q2430" s="4" t="n">
        <v>661</v>
      </c>
      <c r="R2430" s="3" t="inlineStr">
        <is>
          <t>지정되지않음</t>
        </is>
      </c>
      <c r="S2430" s="3" t="inlineStr">
        <is>
          <t>자연림</t>
        </is>
      </c>
      <c r="T2430" s="3" t="inlineStr">
        <is>
          <t>완경사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대교리 78-3</t>
        </is>
      </c>
      <c r="B2431" s="3" t="inlineStr">
        <is>
          <t>생산관리지역</t>
        </is>
      </c>
      <c r="C2431" s="3" t="inlineStr">
        <is>
          <t>전</t>
        </is>
      </c>
      <c r="D2431" s="3" t="inlineStr">
        <is>
          <t>대</t>
        </is>
      </c>
      <c r="E2431" s="3" t="inlineStr">
        <is>
          <t>매매</t>
        </is>
      </c>
      <c r="F2431" s="4" t="n">
        <v>79000</v>
      </c>
      <c r="G2431" s="4" t="n">
        <v>1051</v>
      </c>
      <c r="H2431" s="4" t="n">
        <v>318</v>
      </c>
      <c r="I2431" s="5" t="n">
        <v>248.4</v>
      </c>
      <c r="J2431" s="5" t="n">
        <v>64.40000000000001</v>
      </c>
      <c r="K2431" s="3" t="inlineStr">
        <is>
          <t>nan</t>
        </is>
      </c>
      <c r="L2431" s="6">
        <f>HYPERLINK("https://fin.land.naver.com/articles/2654947595", "매물Link")</f>
        <v/>
      </c>
      <c r="M2431" s="6">
        <f>HYPERLINK("https://map.naver.com/p/search/장군면 대교리 78-3", "지도Link")</f>
        <v/>
      </c>
      <c r="N2431" s="6">
        <f>HYPERLINK("http://www.eum.go.kr/web/ar/lu/luLandDet.jsp?pnu=3611035023100780003&amp;isNoScr=script&amp;mode=search", "토지이음")</f>
        <v/>
      </c>
      <c r="O2431" s="3" t="inlineStr">
        <is>
          <t>세종신한</t>
        </is>
      </c>
      <c r="P2431" s="4" t="n">
        <v>1</v>
      </c>
      <c r="Q2431" s="4" t="n">
        <v>827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세로장방</t>
        </is>
      </c>
      <c r="V2431" s="3" t="inlineStr">
        <is>
          <t>맹지</t>
        </is>
      </c>
    </row>
    <row r="2432">
      <c r="A2432" s="3" t="inlineStr">
        <is>
          <t>장군면 대교리 79-139</t>
        </is>
      </c>
      <c r="B2432" s="3" t="inlineStr">
        <is>
          <t>보전관리지역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65000</v>
      </c>
      <c r="G2432" s="4" t="n">
        <v>891</v>
      </c>
      <c r="H2432" s="4" t="n">
        <v>270</v>
      </c>
      <c r="I2432" s="5" t="n">
        <v>240.7</v>
      </c>
      <c r="J2432" s="5" t="n">
        <v>157.2</v>
      </c>
      <c r="K2432" s="3" t="inlineStr">
        <is>
          <t>장군면 대교리 전망 좋은 남향 전원주택부지 매매</t>
        </is>
      </c>
      <c r="L2432" s="6">
        <f>HYPERLINK("https://fin.land.naver.com/articles/2654896550", "매물Link")</f>
        <v/>
      </c>
      <c r="M2432" s="6">
        <f>HYPERLINK("https://map.naver.com/p/search/장군면 대교리 79-139", "지도Link")</f>
        <v/>
      </c>
      <c r="N2432" s="6">
        <f>HYPERLINK("http://www.eum.go.kr/web/ar/lu/luLandDet.jsp?pnu=3611035023100790139&amp;isNoScr=script&amp;mode=search", "토지이음")</f>
        <v/>
      </c>
      <c r="O2432" s="3" t="inlineStr">
        <is>
          <t>비전</t>
        </is>
      </c>
      <c r="P2432" s="4" t="n">
        <v>1</v>
      </c>
      <c r="Q2432" s="4" t="n">
        <v>660</v>
      </c>
      <c r="R2432" s="3" t="inlineStr">
        <is>
          <t>지정되지않음</t>
        </is>
      </c>
      <c r="S2432" s="3" t="inlineStr">
        <is>
          <t>주거나지</t>
        </is>
      </c>
      <c r="T2432" s="3" t="inlineStr">
        <is>
          <t>완경사</t>
        </is>
      </c>
      <c r="U2432" s="3" t="inlineStr">
        <is>
          <t>정방형</t>
        </is>
      </c>
      <c r="V2432" s="3" t="inlineStr">
        <is>
          <t>세로한면(가)</t>
        </is>
      </c>
    </row>
    <row r="2433">
      <c r="A2433" s="3" t="inlineStr">
        <is>
          <t>장군면 대교리 79-163</t>
        </is>
      </c>
      <c r="B2433" s="3" t="inlineStr">
        <is>
          <t>보전관리지역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42000</v>
      </c>
      <c r="G2433" s="4" t="n">
        <v>557</v>
      </c>
      <c r="H2433" s="4" t="n">
        <v>168</v>
      </c>
      <c r="I2433" s="5" t="n">
        <v>250</v>
      </c>
      <c r="J2433" s="5" t="n">
        <v>157.2</v>
      </c>
      <c r="K2433" s="3" t="inlineStr">
        <is>
          <t>급매, 전망 뷰 최상, 안정감 있는 대교리 전원주택지 즉시 건축가능</t>
        </is>
      </c>
      <c r="L2433" s="6">
        <f>HYPERLINK("https://fin.land.naver.com/articles/2653860181", "매물Link")</f>
        <v/>
      </c>
      <c r="M2433" s="6">
        <f>HYPERLINK("https://map.naver.com/p/search/장군면 대교리 79-163", "지도Link")</f>
        <v/>
      </c>
      <c r="N2433" s="6">
        <f>HYPERLINK("http://www.eum.go.kr/web/ar/lu/luLandDet.jsp?pnu=3611035023100790163&amp;isNoScr=script&amp;mode=search", "토지이음")</f>
        <v/>
      </c>
      <c r="O2433" s="3" t="inlineStr">
        <is>
          <t>고운맘</t>
        </is>
      </c>
      <c r="P2433" s="4" t="n">
        <v>1</v>
      </c>
      <c r="Q2433" s="4" t="n">
        <v>413</v>
      </c>
      <c r="R2433" s="3" t="inlineStr">
        <is>
          <t>지정되지않음</t>
        </is>
      </c>
      <c r="S2433" s="3" t="inlineStr">
        <is>
          <t>주거기타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세로한면(가)</t>
        </is>
      </c>
    </row>
    <row r="2434">
      <c r="A2434" s="3" t="inlineStr">
        <is>
          <t>장군면 대교리 79-177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50000</v>
      </c>
      <c r="G2434" s="4" t="n">
        <v>530</v>
      </c>
      <c r="H2434" s="4" t="n">
        <v>160</v>
      </c>
      <c r="I2434" s="5" t="n">
        <v>312.5</v>
      </c>
      <c r="J2434" s="5" t="n">
        <v>157.2</v>
      </c>
      <c r="K2434" s="3" t="inlineStr">
        <is>
          <t>대 660㎡, 단독전원주택, 보전관리지역.</t>
        </is>
      </c>
      <c r="L2434" s="6">
        <f>HYPERLINK("https://fin.land.naver.com/articles/2654666088", "매물Link")</f>
        <v/>
      </c>
      <c r="M2434" s="6">
        <f>HYPERLINK("https://map.naver.com/p/search/장군면 대교리 79-177", "지도Link")</f>
        <v/>
      </c>
      <c r="N2434" s="6">
        <f>HYPERLINK("http://www.eum.go.kr/web/ar/lu/luLandDet.jsp?pnu=3611035023100790177&amp;isNoScr=script&amp;mode=search", "토지이음")</f>
        <v/>
      </c>
      <c r="O2434" s="3" t="inlineStr">
        <is>
          <t>가결</t>
        </is>
      </c>
      <c r="P2434" s="4" t="n">
        <v>1</v>
      </c>
      <c r="Q2434" s="4" t="n">
        <v>530</v>
      </c>
      <c r="R2434" s="3" t="inlineStr">
        <is>
          <t>지정되지않음</t>
        </is>
      </c>
      <c r="S2434" s="3" t="inlineStr">
        <is>
          <t>주거기타</t>
        </is>
      </c>
      <c r="T2434" s="3" t="inlineStr">
        <is>
          <t>완경사</t>
        </is>
      </c>
      <c r="U2434" s="3" t="inlineStr">
        <is>
          <t>정방형</t>
        </is>
      </c>
      <c r="V2434" s="3" t="inlineStr">
        <is>
          <t>세로한면(가)</t>
        </is>
      </c>
    </row>
    <row r="2435">
      <c r="A2435" s="3" t="inlineStr">
        <is>
          <t>장군면 대교리 79-38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45000</v>
      </c>
      <c r="G2435" s="4" t="n">
        <v>714</v>
      </c>
      <c r="H2435" s="4" t="n">
        <v>216</v>
      </c>
      <c r="I2435" s="5" t="n">
        <v>208.3</v>
      </c>
      <c r="J2435" s="5" t="n">
        <v>157.2</v>
      </c>
      <c r="K2435" s="3" t="inlineStr">
        <is>
          <t>전망 최고 대교리 전원주택부지 사두실분 추후건축 가능</t>
        </is>
      </c>
      <c r="L2435" s="6">
        <f>HYPERLINK("https://fin.land.naver.com/articles/2652599666", "매물Link")</f>
        <v/>
      </c>
      <c r="M2435" s="6">
        <f>HYPERLINK("https://map.naver.com/p/search/장군면 대교리 79-38", "지도Link")</f>
        <v/>
      </c>
      <c r="N2435" s="6">
        <f>HYPERLINK("http://www.eum.go.kr/web/ar/lu/luLandDet.jsp?pnu=3611035023100790038&amp;isNoScr=script&amp;mode=search", "토지이음")</f>
        <v/>
      </c>
      <c r="O2435" s="3" t="inlineStr">
        <is>
          <t>로데오상가</t>
        </is>
      </c>
      <c r="P2435" s="4" t="n">
        <v>1</v>
      </c>
      <c r="Q2435" s="4" t="n">
        <v>580</v>
      </c>
      <c r="R2435" s="3" t="inlineStr">
        <is>
          <t>지정되지않음</t>
        </is>
      </c>
      <c r="S2435" s="3" t="inlineStr">
        <is>
          <t>주거나지</t>
        </is>
      </c>
      <c r="T2435" s="3" t="inlineStr">
        <is>
          <t>완경사</t>
        </is>
      </c>
      <c r="U2435" s="3" t="inlineStr">
        <is>
          <t>세로장방</t>
        </is>
      </c>
      <c r="V2435" s="3" t="inlineStr">
        <is>
          <t>세로한면(가)</t>
        </is>
      </c>
    </row>
    <row r="2436">
      <c r="A2436" s="3" t="inlineStr">
        <is>
          <t>장군면 대교리 79-38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45000</v>
      </c>
      <c r="G2436" s="4" t="n">
        <v>580</v>
      </c>
      <c r="H2436" s="4" t="n">
        <v>175</v>
      </c>
      <c r="I2436" s="5" t="n">
        <v>257.1</v>
      </c>
      <c r="J2436" s="5" t="n">
        <v>157.2</v>
      </c>
      <c r="K2436" s="3" t="inlineStr">
        <is>
          <t>초초급매,조망권뷰 최상,지대가 높은 전원주택지 즉시 건축가능</t>
        </is>
      </c>
      <c r="L2436" s="6">
        <f>HYPERLINK("https://fin.land.naver.com/articles/2650946434", "매물Link")</f>
        <v/>
      </c>
      <c r="M2436" s="6">
        <f>HYPERLINK("https://map.naver.com/p/search/장군면 대교리 79-38", "지도Link")</f>
        <v/>
      </c>
      <c r="N2436" s="6">
        <f>HYPERLINK("http://www.eum.go.kr/web/ar/lu/luLandDet.jsp?pnu=3611035023100790038&amp;isNoScr=script&amp;mode=search", "토지이음")</f>
        <v/>
      </c>
      <c r="O2436" s="3" t="inlineStr">
        <is>
          <t>고운맘</t>
        </is>
      </c>
      <c r="P2436" s="4" t="n">
        <v>1</v>
      </c>
      <c r="Q2436" s="4" t="n">
        <v>580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대교리 79-38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44000</v>
      </c>
      <c r="G2437" s="4" t="n">
        <v>714</v>
      </c>
      <c r="H2437" s="4" t="n">
        <v>216</v>
      </c>
      <c r="I2437" s="5" t="n">
        <v>203.7</v>
      </c>
      <c r="J2437" s="5" t="n">
        <v>157.2</v>
      </c>
      <c r="K2437" s="3" t="inlineStr">
        <is>
          <t>토목공사 완료된 전원주택단지,건축가능</t>
        </is>
      </c>
      <c r="L2437" s="6">
        <f>HYPERLINK("https://fin.land.naver.com/articles/2655032763", "매물Link")</f>
        <v/>
      </c>
      <c r="M2437" s="6">
        <f>HYPERLINK("https://map.naver.com/p/search/장군면 대교리 79-38", "지도Link")</f>
        <v/>
      </c>
      <c r="N2437" s="6">
        <f>HYPERLINK("http://www.eum.go.kr/web/ar/lu/luLandDet.jsp?pnu=3611035023100790038&amp;isNoScr=script&amp;mode=search", "토지이음")</f>
        <v/>
      </c>
      <c r="O2437" s="3" t="inlineStr">
        <is>
          <t>세종대박</t>
        </is>
      </c>
      <c r="P2437" s="4" t="n">
        <v>1</v>
      </c>
      <c r="Q2437" s="4" t="n">
        <v>580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대교리 79-52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45000</v>
      </c>
      <c r="G2438" s="4" t="n">
        <v>58548</v>
      </c>
      <c r="H2438" s="4" t="n">
        <v>17711</v>
      </c>
      <c r="I2438" s="5" t="n">
        <v>2.5</v>
      </c>
      <c r="J2438" s="5" t="n">
        <v>157.2</v>
      </c>
      <c r="K2438" s="3" t="inlineStr">
        <is>
          <t>조율가능추천매물  바로 집지으실수있는 정남향 전원주택지</t>
        </is>
      </c>
      <c r="L2438" s="6">
        <f>HYPERLINK("https://fin.land.naver.com/articles/2651913485", "매물Link")</f>
        <v/>
      </c>
      <c r="M2438" s="6">
        <f>HYPERLINK("https://map.naver.com/p/search/장군면 대교리 79-52", "지도Link")</f>
        <v/>
      </c>
      <c r="N2438" s="6">
        <f>HYPERLINK("http://www.eum.go.kr/web/ar/lu/luLandDet.jsp?pnu=3611035023100790052&amp;isNoScr=script&amp;mode=search", "토지이음")</f>
        <v/>
      </c>
      <c r="O2438" s="3" t="inlineStr">
        <is>
          <t>세종대승</t>
        </is>
      </c>
      <c r="P2438" s="4" t="n">
        <v>1</v>
      </c>
      <c r="Q2438" s="4" t="n">
        <v>585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대교리 84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전</t>
        </is>
      </c>
      <c r="E2439" s="3" t="inlineStr">
        <is>
          <t>매매</t>
        </is>
      </c>
      <c r="F2439" s="4" t="n">
        <v>180000</v>
      </c>
      <c r="G2439" s="4" t="n">
        <v>2447</v>
      </c>
      <c r="H2439" s="4" t="n">
        <v>740</v>
      </c>
      <c r="I2439" s="5" t="n">
        <v>243.2</v>
      </c>
      <c r="J2439" s="5" t="n">
        <v>66.90000000000001</v>
      </c>
      <c r="K2439" s="3" t="inlineStr">
        <is>
          <t>고운동 아파트에서 10분거리에 있는곳  전원주택지가 많고 카폐도 많음.</t>
        </is>
      </c>
      <c r="L2439" s="6">
        <f>HYPERLINK("https://fin.land.naver.com/articles/2653181672", "매물Link")</f>
        <v/>
      </c>
      <c r="M2439" s="6">
        <f>HYPERLINK("https://map.naver.com/p/search/장군면 대교리 84", "지도Link")</f>
        <v/>
      </c>
      <c r="N2439" s="6">
        <f>HYPERLINK("http://www.eum.go.kr/web/ar/lu/luLandDet.jsp?pnu=3611035023100840000&amp;isNoScr=script&amp;mode=search", "토지이음")</f>
        <v/>
      </c>
      <c r="O2439" s="3" t="inlineStr">
        <is>
          <t>에이원</t>
        </is>
      </c>
      <c r="P2439" s="4" t="n">
        <v>1</v>
      </c>
      <c r="Q2439" s="4" t="n">
        <v>377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대교리 86-11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14000</v>
      </c>
      <c r="G2440" s="4" t="n">
        <v>469</v>
      </c>
      <c r="H2440" s="4" t="n">
        <v>142</v>
      </c>
      <c r="I2440" s="5" t="n">
        <v>98.59999999999999</v>
      </c>
      <c r="J2440" s="5" t="n">
        <v>33.3</v>
      </c>
      <c r="K2440" s="3" t="inlineStr">
        <is>
          <t>nan</t>
        </is>
      </c>
      <c r="L2440" s="6">
        <f>HYPERLINK("https://fin.land.naver.com/articles/2655858844", "매물Link")</f>
        <v/>
      </c>
      <c r="M2440" s="6">
        <f>HYPERLINK("https://map.naver.com/p/search/장군면 대교리 86-11", "지도Link")</f>
        <v/>
      </c>
      <c r="N2440" s="6">
        <f>HYPERLINK("http://www.eum.go.kr/web/ar/lu/luLandDet.jsp?pnu=3611035023100860011&amp;isNoScr=script&amp;mode=search", "토지이음")</f>
        <v/>
      </c>
      <c r="O2440" s="3" t="inlineStr">
        <is>
          <t>은주</t>
        </is>
      </c>
      <c r="P2440" s="4" t="n">
        <v>1</v>
      </c>
      <c r="Q2440" s="4" t="n">
        <v>469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대교리 86-9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15000</v>
      </c>
      <c r="G2441" s="4" t="n">
        <v>500</v>
      </c>
      <c r="H2441" s="4" t="n">
        <v>151</v>
      </c>
      <c r="I2441" s="5" t="n">
        <v>99.3</v>
      </c>
      <c r="J2441" s="5" t="n">
        <v>33.3</v>
      </c>
      <c r="K2441" s="3" t="inlineStr">
        <is>
          <t>고운동에서 10분 거리에 있는 전원주택지</t>
        </is>
      </c>
      <c r="L2441" s="6">
        <f>HYPERLINK("https://fin.land.naver.com/articles/2655856595", "매물Link")</f>
        <v/>
      </c>
      <c r="M2441" s="6">
        <f>HYPERLINK("https://map.naver.com/p/search/장군면 대교리 86-9", "지도Link")</f>
        <v/>
      </c>
      <c r="N2441" s="6">
        <f>HYPERLINK("http://www.eum.go.kr/web/ar/lu/luLandDet.jsp?pnu=3611035023100860009&amp;isNoScr=script&amp;mode=search", "토지이음")</f>
        <v/>
      </c>
      <c r="O2441" s="3" t="inlineStr">
        <is>
          <t>은주</t>
        </is>
      </c>
      <c r="P2441" s="4" t="n">
        <v>1</v>
      </c>
      <c r="Q2441" s="4" t="n">
        <v>500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대교리 89-1</t>
        </is>
      </c>
      <c r="B2442" s="3" t="inlineStr">
        <is>
          <t>생산관리지역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217000</v>
      </c>
      <c r="G2442" s="4" t="n">
        <v>5984</v>
      </c>
      <c r="H2442" s="4" t="n">
        <v>1810</v>
      </c>
      <c r="I2442" s="5" t="n">
        <v>119.9</v>
      </c>
      <c r="J2442" s="5" t="n">
        <v>49</v>
      </c>
      <c r="K2442" s="3" t="inlineStr">
        <is>
          <t>세종신도시 인접한 대교리 생산관리 3필지 급매, 투자가치 최상</t>
        </is>
      </c>
      <c r="L2442" s="6">
        <f>HYPERLINK("https://fin.land.naver.com/articles/2656486877", "매물Link")</f>
        <v/>
      </c>
      <c r="M2442" s="6">
        <f>HYPERLINK("https://map.naver.com/p/search/장군면 대교리 89-1", "지도Link")</f>
        <v/>
      </c>
      <c r="N2442" s="6">
        <f>HYPERLINK("http://www.eum.go.kr/web/ar/lu/luLandDet.jsp?pnu=3611035023100890001&amp;isNoScr=script&amp;mode=search",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3296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대교리 산34-1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62000</v>
      </c>
      <c r="G2443" s="4" t="n">
        <v>896</v>
      </c>
      <c r="H2443" s="4" t="n">
        <v>271</v>
      </c>
      <c r="I2443" s="5" t="n">
        <v>228.8</v>
      </c>
      <c r="J2443" s="5" t="n">
        <v>45.9</v>
      </c>
      <c r="K2443" s="3" t="inlineStr">
        <is>
          <t>해누리 전원마을 입구 계획관리지역 토지 급매</t>
        </is>
      </c>
      <c r="L2443" s="6">
        <f>HYPERLINK("https://fin.land.naver.com/articles/2652027011", "매물Link")</f>
        <v/>
      </c>
      <c r="M2443" s="6">
        <f>HYPERLINK("https://map.naver.com/p/search/장군면 대교리 산34-1", "지도Link")</f>
        <v/>
      </c>
      <c r="N2443" s="6">
        <f>HYPERLINK("http://www.eum.go.kr/web/ar/lu/luLandDet.jsp?pnu=3611035023200340001&amp;isNoScr=script&amp;mode=search",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896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대교리 산46-45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676200</v>
      </c>
      <c r="G2444" s="4" t="n">
        <v>44707</v>
      </c>
      <c r="H2444" s="4" t="n">
        <v>13524</v>
      </c>
      <c r="I2444" s="5" t="n">
        <v>50</v>
      </c>
      <c r="J2444" s="5" t="n">
        <v>9.5</v>
      </c>
      <c r="K2444" s="3" t="inlineStr">
        <is>
          <t>김종서장군 테마공원 인근 낮은 야산 도로 접 위치 최상 전원주택지 등</t>
        </is>
      </c>
      <c r="L2444" s="6">
        <f>HYPERLINK("https://fin.land.naver.com/articles/2655405938", "매물Link")</f>
        <v/>
      </c>
      <c r="M2444" s="6">
        <f>HYPERLINK("https://map.naver.com/p/search/장군면 대교리 산46-45", "지도Link")</f>
        <v/>
      </c>
      <c r="N2444" s="6">
        <f>HYPERLINK("http://www.eum.go.kr/web/ar/lu/luLandDet.jsp?pnu=3611035023200460045&amp;isNoScr=script&amp;mode=search", "토지이음")</f>
        <v/>
      </c>
      <c r="O2444" s="3" t="inlineStr">
        <is>
          <t>세종시해냄공인</t>
        </is>
      </c>
      <c r="P2444" s="4" t="n">
        <v>1</v>
      </c>
      <c r="Q2444" s="4" t="n">
        <v>44707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도계리 149-3</t>
        </is>
      </c>
      <c r="B2445" s="3" t="inlineStr">
        <is>
          <t>계획관리지역</t>
        </is>
      </c>
      <c r="C2445" s="3" t="inlineStr">
        <is>
          <t>대</t>
        </is>
      </c>
      <c r="D2445" s="3" t="inlineStr">
        <is>
          <t>대</t>
        </is>
      </c>
      <c r="E2445" s="3" t="inlineStr">
        <is>
          <t>매매</t>
        </is>
      </c>
      <c r="F2445" s="4" t="n">
        <v>61800</v>
      </c>
      <c r="G2445" s="4" t="n">
        <v>551</v>
      </c>
      <c r="H2445" s="4" t="n">
        <v>167</v>
      </c>
      <c r="I2445" s="5" t="n">
        <v>370.1</v>
      </c>
      <c r="J2445" s="5" t="n">
        <v>225.3</v>
      </c>
      <c r="K2445" s="3" t="inlineStr">
        <is>
          <t>다가구 빌라 짓기에 좋은 토지입니다.</t>
        </is>
      </c>
      <c r="L2445" s="6">
        <f>HYPERLINK("https://fin.land.naver.com/articles/2652097927", "매물Link")</f>
        <v/>
      </c>
      <c r="M2445" s="6">
        <f>HYPERLINK("https://map.naver.com/p/search/장군면 도계리 149-3", "지도Link")</f>
        <v/>
      </c>
      <c r="N2445" s="6">
        <f>HYPERLINK("http://www.eum.go.kr/web/ar/lu/luLandDet.jsp?pnu=3611035021101490003&amp;isNoScr=script&amp;mode=search", "토지이음")</f>
        <v/>
      </c>
      <c r="O2445" s="3" t="inlineStr">
        <is>
          <t>미스터홈즈강남지사</t>
        </is>
      </c>
      <c r="P2445" s="4" t="n">
        <v>1</v>
      </c>
      <c r="Q2445" s="4" t="n">
        <v>424</v>
      </c>
      <c r="R2445" s="3" t="inlineStr">
        <is>
          <t>지정되지않음</t>
        </is>
      </c>
      <c r="S2445" s="3" t="inlineStr">
        <is>
          <t>단독</t>
        </is>
      </c>
      <c r="T2445" s="3" t="inlineStr">
        <is>
          <t>평지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도계리 156-13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100000</v>
      </c>
      <c r="G2446" s="4" t="n">
        <v>325</v>
      </c>
      <c r="H2446" s="4" t="n">
        <v>98</v>
      </c>
      <c r="I2446" s="5" t="n">
        <v>1020.4</v>
      </c>
      <c r="J2446" s="5" t="n">
        <v>425.5</v>
      </c>
      <c r="K2446" s="3" t="inlineStr">
        <is>
          <t>장군면 투자, 농협 앞, 월세수익</t>
        </is>
      </c>
      <c r="L2446" s="6">
        <f>HYPERLINK("https://fin.land.naver.com/articles/2654032900", "매물Link")</f>
        <v/>
      </c>
      <c r="M2446" s="6">
        <f>HYPERLINK("https://map.naver.com/p/search/장군면 도계리 156-13", "지도Link")</f>
        <v/>
      </c>
      <c r="N2446" s="6">
        <f>HYPERLINK("http://www.eum.go.kr/web/ar/lu/luLandDet.jsp?pnu=3611035021101560013&amp;isNoScr=script&amp;mode=search", "토지이음")</f>
        <v/>
      </c>
      <c r="O2446" s="3" t="inlineStr">
        <is>
          <t>한뜰금빛</t>
        </is>
      </c>
      <c r="P2446" s="4" t="n">
        <v>1</v>
      </c>
      <c r="Q2446" s="4" t="n">
        <v>325</v>
      </c>
      <c r="R2446" s="3" t="inlineStr">
        <is>
          <t>지정되지않음</t>
        </is>
      </c>
      <c r="S2446" s="3" t="inlineStr">
        <is>
          <t>주상용</t>
        </is>
      </c>
      <c r="T2446" s="3" t="inlineStr">
        <is>
          <t>평지</t>
        </is>
      </c>
      <c r="U2446" s="3" t="inlineStr">
        <is>
          <t>정방형</t>
        </is>
      </c>
      <c r="V2446" s="3" t="inlineStr">
        <is>
          <t>소로한면</t>
        </is>
      </c>
    </row>
    <row r="2447">
      <c r="A2447" s="3" t="inlineStr">
        <is>
          <t>장군면 도계리 170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70000</v>
      </c>
      <c r="G2447" s="4" t="n">
        <v>334</v>
      </c>
      <c r="H2447" s="4" t="n">
        <v>101</v>
      </c>
      <c r="I2447" s="5" t="n">
        <v>693.1</v>
      </c>
      <c r="J2447" s="5" t="n">
        <v>314.4</v>
      </c>
      <c r="K2447" s="3" t="inlineStr">
        <is>
          <t>장군면사무소 근처 중심상권이 형성된 지역으로 상가 건축에 최상</t>
        </is>
      </c>
      <c r="L2447" s="6">
        <f>HYPERLINK("https://fin.land.naver.com/articles/2652979992", "매물Link")</f>
        <v/>
      </c>
      <c r="M2447" s="6">
        <f>HYPERLINK("https://map.naver.com/p/search/장군면 도계리 170", "지도Link")</f>
        <v/>
      </c>
      <c r="N2447" s="6">
        <f>HYPERLINK("http://www.eum.go.kr/web/ar/lu/luLandDet.jsp?pnu=3611035021101700000&amp;isNoScr=script&amp;mode=search", "토지이음")</f>
        <v/>
      </c>
      <c r="O2447" s="3" t="inlineStr">
        <is>
          <t>온누리</t>
        </is>
      </c>
      <c r="P2447" s="4" t="n">
        <v>1</v>
      </c>
      <c r="Q2447" s="4" t="n">
        <v>334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도계리 185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2800000</v>
      </c>
      <c r="G2448" s="4" t="n">
        <v>32393</v>
      </c>
      <c r="H2448" s="4" t="n">
        <v>9799</v>
      </c>
      <c r="I2448" s="5" t="n">
        <v>285.7</v>
      </c>
      <c r="J2448" s="5" t="n">
        <v>104.7</v>
      </c>
      <c r="K2448" s="3" t="inlineStr">
        <is>
          <t>세종시 서세종IC, 제2경부고속도로 IC 인근으로 사옥, 물류창고 외</t>
        </is>
      </c>
      <c r="L2448" s="6">
        <f>HYPERLINK("https://fin.land.naver.com/articles/2651724328", "매물Link")</f>
        <v/>
      </c>
      <c r="M2448" s="6">
        <f>HYPERLINK("https://map.naver.com/p/search/장군면 도계리 185", "지도Link")</f>
        <v/>
      </c>
      <c r="N2448" s="6">
        <f>HYPERLINK("http://www.eum.go.kr/web/ar/lu/luLandDet.jsp?pnu=3611035021101850000&amp;isNoScr=script&amp;mode=search", "토지이음")</f>
        <v/>
      </c>
      <c r="O2448" s="3" t="inlineStr">
        <is>
          <t>세종태양</t>
        </is>
      </c>
      <c r="P2448" s="4" t="n">
        <v>1</v>
      </c>
      <c r="Q2448" s="4" t="n">
        <v>27950</v>
      </c>
      <c r="R2448" s="3" t="inlineStr">
        <is>
          <t>지정되지않음</t>
        </is>
      </c>
      <c r="S2448" s="3" t="inlineStr">
        <is>
          <t>과수원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도계리 188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280000</v>
      </c>
      <c r="G2449" s="4" t="n">
        <v>1864</v>
      </c>
      <c r="H2449" s="4" t="n">
        <v>564</v>
      </c>
      <c r="I2449" s="5" t="n">
        <v>496.5</v>
      </c>
      <c r="J2449" s="5" t="n">
        <v>132.6</v>
      </c>
      <c r="K2449" s="3" t="inlineStr">
        <is>
          <t>다목적 토지</t>
        </is>
      </c>
      <c r="L2449" s="6">
        <f>HYPERLINK("https://fin.land.naver.com/articles/2652695023", "매물Link")</f>
        <v/>
      </c>
      <c r="M2449" s="6">
        <f>HYPERLINK("https://map.naver.com/p/search/장군면 도계리 188", "지도Link")</f>
        <v/>
      </c>
      <c r="N2449" s="6">
        <f>HYPERLINK("http://www.eum.go.kr/web/ar/lu/luLandDet.jsp?pnu=3611035021101880000&amp;isNoScr=script&amp;mode=search", "토지이음")</f>
        <v/>
      </c>
      <c r="O2449" s="3" t="inlineStr">
        <is>
          <t>새땅</t>
        </is>
      </c>
      <c r="P2449" s="4" t="n">
        <v>1</v>
      </c>
      <c r="Q2449" s="4" t="n">
        <v>1864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도계리 201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85000</v>
      </c>
      <c r="G2450" s="4" t="n">
        <v>747</v>
      </c>
      <c r="H2450" s="4" t="n">
        <v>226</v>
      </c>
      <c r="I2450" s="5" t="n">
        <v>376.1</v>
      </c>
      <c r="J2450" s="5" t="n">
        <v>122.9</v>
      </c>
      <c r="K2450" s="3" t="inlineStr">
        <is>
          <t>장군면 요지에 위치 발전 가능성 매우 높은 땅 저렴한 가격</t>
        </is>
      </c>
      <c r="L2450" s="6">
        <f>HYPERLINK("https://fin.land.naver.com/articles/2653546097", "매물Link")</f>
        <v/>
      </c>
      <c r="M2450" s="6">
        <f>HYPERLINK("https://map.naver.com/p/search/장군면 도계리 201", "지도Link")</f>
        <v/>
      </c>
      <c r="N2450" s="6">
        <f>HYPERLINK("http://www.eum.go.kr/web/ar/lu/luLandDet.jsp?pnu=3611035021102010000&amp;isNoScr=script&amp;mode=search", "토지이음")</f>
        <v/>
      </c>
      <c r="O2450" s="3" t="inlineStr">
        <is>
          <t>세종공주원탑</t>
        </is>
      </c>
      <c r="P2450" s="4" t="n">
        <v>2</v>
      </c>
      <c r="Q2450" s="4" t="n">
        <v>747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도계리 202-3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64200</v>
      </c>
      <c r="G2451" s="4" t="n">
        <v>393</v>
      </c>
      <c r="H2451" s="4" t="n">
        <v>119</v>
      </c>
      <c r="I2451" s="5" t="n">
        <v>539.5</v>
      </c>
      <c r="J2451" s="5" t="n">
        <v>239.9</v>
      </c>
      <c r="K2451" s="3" t="inlineStr">
        <is>
          <t>장군면사무소 근처 중심상권이 형성된 지역으로 상가 및 다가구주택지</t>
        </is>
      </c>
      <c r="L2451" s="6">
        <f>HYPERLINK("https://fin.land.naver.com/articles/2652999708", "매물Link")</f>
        <v/>
      </c>
      <c r="M2451" s="6">
        <f>HYPERLINK("https://map.naver.com/p/search/장군면 도계리 202-3", "지도Link")</f>
        <v/>
      </c>
      <c r="N2451" s="6">
        <f>HYPERLINK("http://www.eum.go.kr/web/ar/lu/luLandDet.jsp?pnu=3611035021102020003&amp;isNoScr=script&amp;mode=search", "토지이음")</f>
        <v/>
      </c>
      <c r="O2451" s="3" t="inlineStr">
        <is>
          <t>온누리</t>
        </is>
      </c>
      <c r="P2451" s="4" t="n">
        <v>2</v>
      </c>
      <c r="Q2451" s="4" t="n">
        <v>393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평지</t>
        </is>
      </c>
      <c r="U2451" s="3" t="inlineStr">
        <is>
          <t>사다리형</t>
        </is>
      </c>
      <c r="V2451" s="3" t="inlineStr">
        <is>
          <t>세로각지(가)</t>
        </is>
      </c>
    </row>
    <row r="2452">
      <c r="A2452" s="3" t="inlineStr">
        <is>
          <t>장군면 도계리 218-1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23000</v>
      </c>
      <c r="G2452" s="4" t="n">
        <v>229</v>
      </c>
      <c r="H2452" s="4" t="n">
        <v>69</v>
      </c>
      <c r="I2452" s="5" t="n">
        <v>333.3</v>
      </c>
      <c r="J2452" s="5" t="n">
        <v>145</v>
      </c>
      <c r="K2452" s="3" t="inlineStr">
        <is>
          <t>지구단위계획구역의 도로와 현황상 도로에 접한 계획관리지역의 전입니다</t>
        </is>
      </c>
      <c r="L2452" s="6">
        <f>HYPERLINK("https://fin.land.naver.com/articles/2654777186", "매물Link")</f>
        <v/>
      </c>
      <c r="M2452" s="6">
        <f>HYPERLINK("https://map.naver.com/p/search/장군면 도계리 218-1", "지도Link")</f>
        <v/>
      </c>
      <c r="N2452" s="6">
        <f>HYPERLINK("http://www.eum.go.kr/web/ar/lu/luLandDet.jsp?pnu=3611035021102180001&amp;isNoScr=script&amp;mode=search", "토지이음")</f>
        <v/>
      </c>
      <c r="O2452" s="3" t="inlineStr">
        <is>
          <t>스마일세종</t>
        </is>
      </c>
      <c r="P2452" s="4" t="n">
        <v>1</v>
      </c>
      <c r="Q2452" s="4" t="n">
        <v>229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도계리 223-2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40475</v>
      </c>
      <c r="G2453" s="4" t="n">
        <v>446</v>
      </c>
      <c r="H2453" s="4" t="n">
        <v>135</v>
      </c>
      <c r="I2453" s="5" t="n">
        <v>299.8</v>
      </c>
      <c r="J2453" s="5" t="n">
        <v>227.6</v>
      </c>
      <c r="K2453" s="3" t="inlineStr">
        <is>
          <t>도계리 주택 요충지</t>
        </is>
      </c>
      <c r="L2453" s="6">
        <f>HYPERLINK("https://fin.land.naver.com/articles/2654870379", "매물Link")</f>
        <v/>
      </c>
      <c r="M2453" s="6">
        <f>HYPERLINK("https://map.naver.com/p/search/장군면 도계리 223-2", "지도Link")</f>
        <v/>
      </c>
      <c r="N2453" s="6">
        <f>HYPERLINK("http://www.eum.go.kr/web/ar/lu/luLandDet.jsp?pnu=3611035021102230002&amp;isNoScr=script&amp;mode=search", "토지이음")</f>
        <v/>
      </c>
      <c r="O2453" s="3" t="inlineStr">
        <is>
          <t>원조대박</t>
        </is>
      </c>
      <c r="P2453" s="4" t="n">
        <v>1</v>
      </c>
      <c r="Q2453" s="4" t="n">
        <v>446</v>
      </c>
      <c r="R2453" s="3" t="inlineStr">
        <is>
          <t>지정되지않음</t>
        </is>
      </c>
      <c r="S2453" s="3" t="inlineStr">
        <is>
          <t>단독</t>
        </is>
      </c>
      <c r="T2453" s="3" t="inlineStr">
        <is>
          <t>평지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도계리 226-2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43000</v>
      </c>
      <c r="G2454" s="4" t="n">
        <v>325</v>
      </c>
      <c r="H2454" s="4" t="n">
        <v>98</v>
      </c>
      <c r="I2454" s="5" t="n">
        <v>438.8</v>
      </c>
      <c r="J2454" s="5" t="n">
        <v>207.8</v>
      </c>
      <c r="K2454" s="3" t="inlineStr">
        <is>
          <t>정말 좋은 입지 주변 환경 좋습니다 미래 가치는 현장을 보시면 느껴집니다</t>
        </is>
      </c>
      <c r="L2454" s="6">
        <f>HYPERLINK("https://fin.land.naver.com/articles/2654209495", "매물Link")</f>
        <v/>
      </c>
      <c r="M2454" s="6">
        <f>HYPERLINK("https://map.naver.com/p/search/장군면 도계리 226-2", "지도Link")</f>
        <v/>
      </c>
      <c r="N2454" s="6">
        <f>HYPERLINK("http://www.eum.go.kr/web/ar/lu/luLandDet.jsp?pnu=3611035021102260002&amp;isNoScr=script&amp;mode=search", "토지이음")</f>
        <v/>
      </c>
      <c r="O2454" s="3" t="inlineStr">
        <is>
          <t>세종시삼성래미안</t>
        </is>
      </c>
      <c r="P2454" s="4" t="n">
        <v>2</v>
      </c>
      <c r="Q2454" s="4" t="n">
        <v>325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평지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도계리 280-1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63600</v>
      </c>
      <c r="G2455" s="4" t="n">
        <v>957</v>
      </c>
      <c r="H2455" s="4" t="n">
        <v>289</v>
      </c>
      <c r="I2455" s="5" t="n">
        <v>220.1</v>
      </c>
      <c r="J2455" s="5" t="n">
        <v>145.6</v>
      </c>
      <c r="K2455" s="3" t="inlineStr">
        <is>
          <t>2필지, 계획관리, 자연취락지구</t>
        </is>
      </c>
      <c r="L2455" s="6">
        <f>HYPERLINK("https://fin.land.naver.com/articles/2656633925", "매물Link")</f>
        <v/>
      </c>
      <c r="M2455" s="6">
        <f>HYPERLINK("https://map.naver.com/p/search/장군면 도계리 280-1", "지도Link")</f>
        <v/>
      </c>
      <c r="N2455" s="6">
        <f>HYPERLINK("http://www.eum.go.kr/web/ar/lu/luLandDet.jsp?pnu=3611035021102800001&amp;isNoScr=script&amp;mode=search", "토지이음")</f>
        <v/>
      </c>
      <c r="O2455" s="3" t="inlineStr">
        <is>
          <t>세종몽땅</t>
        </is>
      </c>
      <c r="P2455" s="4" t="n">
        <v>1</v>
      </c>
      <c r="Q2455" s="4" t="n">
        <v>510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도계리 282-32</t>
        </is>
      </c>
      <c r="B2456" s="3" t="inlineStr">
        <is>
          <t>보전관리지역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33000</v>
      </c>
      <c r="G2456" s="4" t="n">
        <v>570</v>
      </c>
      <c r="H2456" s="4" t="n">
        <v>172</v>
      </c>
      <c r="I2456" s="5" t="n">
        <v>191.9</v>
      </c>
      <c r="J2456" s="5" t="n">
        <v>122.1</v>
      </c>
      <c r="K2456" s="3" t="inlineStr">
        <is>
          <t>급매,도계리  도로접 조망권 뷰 최상 파인빌리지  전원주택지 투자용 추천</t>
        </is>
      </c>
      <c r="L2456" s="6">
        <f>HYPERLINK("https://fin.land.naver.com/articles/2656213947", "매물Link")</f>
        <v/>
      </c>
      <c r="M2456" s="6">
        <f>HYPERLINK("https://map.naver.com/p/search/장군면 도계리 282-32", "지도Link")</f>
        <v/>
      </c>
      <c r="N2456" s="6">
        <f>HYPERLINK("http://www.eum.go.kr/web/ar/lu/luLandDet.jsp?pnu=3611035021102820032&amp;isNoScr=script&amp;mode=search", "토지이음")</f>
        <v/>
      </c>
      <c r="O2456" s="3" t="inlineStr">
        <is>
          <t>고운맘</t>
        </is>
      </c>
      <c r="P2456" s="4" t="n">
        <v>1</v>
      </c>
      <c r="Q2456" s="4" t="n">
        <v>570</v>
      </c>
      <c r="R2456" s="3" t="inlineStr">
        <is>
          <t>지정되지않음</t>
        </is>
      </c>
      <c r="S2456" s="3" t="inlineStr">
        <is>
          <t>주거나지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도계리 282-32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33000</v>
      </c>
      <c r="G2457" s="4" t="n">
        <v>570</v>
      </c>
      <c r="H2457" s="4" t="n">
        <v>172</v>
      </c>
      <c r="I2457" s="5" t="n">
        <v>191.9</v>
      </c>
      <c r="J2457" s="5" t="n">
        <v>122.1</v>
      </c>
      <c r="K2457" s="3" t="inlineStr">
        <is>
          <t>전원주택용지로 좋음</t>
        </is>
      </c>
      <c r="L2457" s="6">
        <f>HYPERLINK("https://fin.land.naver.com/articles/2654330702", "매물Link")</f>
        <v/>
      </c>
      <c r="M2457" s="6">
        <f>HYPERLINK("https://map.naver.com/p/search/장군면 도계리 282-32", "지도Link")</f>
        <v/>
      </c>
      <c r="N2457" s="6">
        <f>HYPERLINK("http://www.eum.go.kr/web/ar/lu/luLandDet.jsp?pnu=3611035021102820032&amp;isNoScr=script&amp;mode=search", "토지이음")</f>
        <v/>
      </c>
      <c r="O2457" s="3" t="inlineStr">
        <is>
          <t>링크</t>
        </is>
      </c>
      <c r="P2457" s="4" t="n">
        <v>2</v>
      </c>
      <c r="Q2457" s="4" t="n">
        <v>570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도계리 29-4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76000</v>
      </c>
      <c r="G2458" s="4" t="n">
        <v>743</v>
      </c>
      <c r="H2458" s="4" t="n">
        <v>225</v>
      </c>
      <c r="I2458" s="5" t="n">
        <v>337.8</v>
      </c>
      <c r="J2458" s="5" t="n">
        <v>182.8</v>
      </c>
      <c r="K2458" s="3" t="inlineStr">
        <is>
          <t>도계지구 12m계획 도로에 접하고 있고 계획관리 대지로 미래가치 최상</t>
        </is>
      </c>
      <c r="L2458" s="6">
        <f>HYPERLINK("https://fin.land.naver.com/articles/2655655599", "매물Link")</f>
        <v/>
      </c>
      <c r="M2458" s="6">
        <f>HYPERLINK("https://map.naver.com/p/search/장군면 도계리 29-4", "지도Link")</f>
        <v/>
      </c>
      <c r="N2458" s="6">
        <f>HYPERLINK("http://www.eum.go.kr/web/ar/lu/luLandDet.jsp?pnu=3611035021100290004&amp;isNoScr=script&amp;mode=search",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743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평지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도계리 326-1</t>
        </is>
      </c>
      <c r="B2459" s="3" t="inlineStr">
        <is>
          <t>농림지역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26080</v>
      </c>
      <c r="G2459" s="4" t="n">
        <v>1077</v>
      </c>
      <c r="H2459" s="4" t="n">
        <v>326</v>
      </c>
      <c r="I2459" s="5" t="n">
        <v>80</v>
      </c>
      <c r="J2459" s="5" t="n">
        <v>51.5</v>
      </c>
      <c r="K2459" s="3" t="inlineStr">
        <is>
          <t>도계리 투자 위치 좋은 땅</t>
        </is>
      </c>
      <c r="L2459" s="6">
        <f>HYPERLINK("https://fin.land.naver.com/articles/2653496843", "매물Link")</f>
        <v/>
      </c>
      <c r="M2459" s="6">
        <f>HYPERLINK("https://map.naver.com/p/search/장군면 도계리 326-1", "지도Link")</f>
        <v/>
      </c>
      <c r="N2459" s="6">
        <f>HYPERLINK("http://www.eum.go.kr/web/ar/lu/luLandDet.jsp?pnu=3611035021103260001&amp;isNoScr=script&amp;mode=search", "토지이음")</f>
        <v/>
      </c>
      <c r="O2459" s="3" t="inlineStr">
        <is>
          <t>상상</t>
        </is>
      </c>
      <c r="P2459" s="4" t="n">
        <v>1</v>
      </c>
      <c r="Q2459" s="4" t="n">
        <v>1077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도계리 346-1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62000</v>
      </c>
      <c r="G2460" s="4" t="n">
        <v>2922</v>
      </c>
      <c r="H2460" s="4" t="n">
        <v>884</v>
      </c>
      <c r="I2460" s="5" t="n">
        <v>70.09999999999999</v>
      </c>
      <c r="J2460" s="5" t="n">
        <v>53.5</v>
      </c>
      <c r="K2460" s="3" t="inlineStr">
        <is>
          <t>세종 장군면 도계리 영농확대 추천 농지</t>
        </is>
      </c>
      <c r="L2460" s="6">
        <f>HYPERLINK("https://fin.land.naver.com/articles/2655207833", "매물Link")</f>
        <v/>
      </c>
      <c r="M2460" s="6">
        <f>HYPERLINK("https://map.naver.com/p/search/장군면 도계리 346-1", "지도Link")</f>
        <v/>
      </c>
      <c r="N2460" s="6">
        <f>HYPERLINK("http://www.eum.go.kr/web/ar/lu/luLandDet.jsp?pnu=3611035021103460001&amp;isNoScr=script&amp;mode=search", "토지이음")</f>
        <v/>
      </c>
      <c r="O2460" s="3" t="inlineStr">
        <is>
          <t>세종몽땅</t>
        </is>
      </c>
      <c r="P2460" s="4" t="n">
        <v>1</v>
      </c>
      <c r="Q2460" s="4" t="n">
        <v>2922</v>
      </c>
      <c r="R2460" s="3" t="inlineStr">
        <is>
          <t>보전관리지역</t>
        </is>
      </c>
      <c r="S2460" s="3" t="inlineStr">
        <is>
          <t>전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세로각지(가)</t>
        </is>
      </c>
    </row>
    <row r="2461">
      <c r="A2461" s="3" t="inlineStr">
        <is>
          <t>장군면 도계리 346-1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61873</v>
      </c>
      <c r="G2461" s="4" t="n">
        <v>2922</v>
      </c>
      <c r="H2461" s="4" t="n">
        <v>884</v>
      </c>
      <c r="I2461" s="5" t="n">
        <v>70</v>
      </c>
      <c r="J2461" s="5" t="n">
        <v>53.5</v>
      </c>
      <c r="K2461" s="3" t="inlineStr">
        <is>
          <t>세종시 저렴한 농지</t>
        </is>
      </c>
      <c r="L2461" s="6">
        <f>HYPERLINK("https://fin.land.naver.com/articles/2653497070", "매물Link")</f>
        <v/>
      </c>
      <c r="M2461" s="6">
        <f>HYPERLINK("https://map.naver.com/p/search/장군면 도계리 346-1", "지도Link")</f>
        <v/>
      </c>
      <c r="N2461" s="6">
        <f>HYPERLINK("http://www.eum.go.kr/web/ar/lu/luLandDet.jsp?pnu=3611035021103460001&amp;isNoScr=script&amp;mode=search", "토지이음")</f>
        <v/>
      </c>
      <c r="O2461" s="3" t="inlineStr">
        <is>
          <t>상상</t>
        </is>
      </c>
      <c r="P2461" s="4" t="n">
        <v>1</v>
      </c>
      <c r="Q2461" s="4" t="n">
        <v>2922</v>
      </c>
      <c r="R2461" s="3" t="inlineStr">
        <is>
          <t>보전관리지역</t>
        </is>
      </c>
      <c r="S2461" s="3" t="inlineStr">
        <is>
          <t>전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세로각지(가)</t>
        </is>
      </c>
    </row>
    <row r="2462">
      <c r="A2462" s="3" t="inlineStr">
        <is>
          <t>장군면 도계리 349-2</t>
        </is>
      </c>
      <c r="B2462" s="3" t="inlineStr">
        <is>
          <t>보전관리지역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33000</v>
      </c>
      <c r="G2462" s="4" t="n">
        <v>1087</v>
      </c>
      <c r="H2462" s="4" t="n">
        <v>329</v>
      </c>
      <c r="I2462" s="5" t="n">
        <v>100.3</v>
      </c>
      <c r="J2462" s="5" t="n">
        <v>43.6</v>
      </c>
      <c r="K2462" s="3" t="inlineStr">
        <is>
          <t>급매 연계필지와함께가능</t>
        </is>
      </c>
      <c r="L2462" s="6">
        <f>HYPERLINK("https://fin.land.naver.com/articles/2651373967", "매물Link")</f>
        <v/>
      </c>
      <c r="M2462" s="6">
        <f>HYPERLINK("https://map.naver.com/p/search/장군면 도계리 349-2", "지도Link")</f>
        <v/>
      </c>
      <c r="N2462" s="6">
        <f>HYPERLINK("http://www.eum.go.kr/web/ar/lu/luLandDet.jsp?pnu=3611035021103490002&amp;isNoScr=script&amp;mode=search", "토지이음")</f>
        <v/>
      </c>
      <c r="O2462" s="3" t="inlineStr">
        <is>
          <t>세종중흥S클래스</t>
        </is>
      </c>
      <c r="P2462" s="4" t="n">
        <v>1</v>
      </c>
      <c r="Q2462" s="4" t="n">
        <v>1087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도계리 349-3</t>
        </is>
      </c>
      <c r="B2463" s="3" t="inlineStr">
        <is>
          <t>생산관리지역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76000</v>
      </c>
      <c r="G2463" s="4" t="n">
        <v>2486</v>
      </c>
      <c r="H2463" s="4" t="n">
        <v>752</v>
      </c>
      <c r="I2463" s="5" t="n">
        <v>101.1</v>
      </c>
      <c r="J2463" s="5" t="n">
        <v>57.2</v>
      </c>
      <c r="K2463" s="3" t="inlineStr">
        <is>
          <t>급매 세종포천고속도로인접 토지</t>
        </is>
      </c>
      <c r="L2463" s="6">
        <f>HYPERLINK("https://fin.land.naver.com/articles/2651373900", "매물Link")</f>
        <v/>
      </c>
      <c r="M2463" s="6">
        <f>HYPERLINK("https://map.naver.com/p/search/장군면 도계리 349-3", "지도Link")</f>
        <v/>
      </c>
      <c r="N2463" s="6">
        <f>HYPERLINK("http://www.eum.go.kr/web/ar/lu/luLandDet.jsp?pnu=3611035021103490003&amp;isNoScr=script&amp;mode=search", "토지이음")</f>
        <v/>
      </c>
      <c r="O2463" s="3" t="inlineStr">
        <is>
          <t>세종중흥S클래스</t>
        </is>
      </c>
      <c r="P2463" s="4" t="n">
        <v>1</v>
      </c>
      <c r="Q2463" s="4" t="n">
        <v>2486</v>
      </c>
      <c r="R2463" s="3" t="inlineStr">
        <is>
          <t>보전관리지역</t>
        </is>
      </c>
      <c r="S2463" s="3" t="inlineStr">
        <is>
          <t>답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도계리 351-6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임야</t>
        </is>
      </c>
      <c r="E2464" s="3" t="inlineStr">
        <is>
          <t>매매</t>
        </is>
      </c>
      <c r="F2464" s="4" t="n">
        <v>52500</v>
      </c>
      <c r="G2464" s="4" t="n">
        <v>1157</v>
      </c>
      <c r="H2464" s="4" t="n">
        <v>350</v>
      </c>
      <c r="I2464" s="5" t="n">
        <v>150</v>
      </c>
      <c r="J2464" s="5" t="n">
        <v>37.9</v>
      </c>
      <c r="K2464" s="3" t="inlineStr">
        <is>
          <t>현임야상태, 토목공상완료후인도</t>
        </is>
      </c>
      <c r="L2464" s="6">
        <f>HYPERLINK("https://fin.land.naver.com/articles/2652729514", "매물Link")</f>
        <v/>
      </c>
      <c r="M2464" s="6">
        <f>HYPERLINK("https://map.naver.com/p/search/장군면 도계리 351-6", "지도Link")</f>
        <v/>
      </c>
      <c r="N2464" s="6">
        <f>HYPERLINK("http://www.eum.go.kr/web/ar/lu/luLandDet.jsp?pnu=3611035021103510006&amp;isNoScr=script&amp;mode=search", "토지이음")</f>
        <v/>
      </c>
      <c r="O2464" s="3" t="inlineStr">
        <is>
          <t>대박</t>
        </is>
      </c>
      <c r="P2464" s="4" t="n">
        <v>1</v>
      </c>
      <c r="Q2464" s="4" t="n">
        <v>1157</v>
      </c>
      <c r="R2464" s="3" t="inlineStr">
        <is>
          <t>지정되지않음</t>
        </is>
      </c>
      <c r="S2464" s="3" t="inlineStr">
        <is>
          <t>자연림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도계리 355-18</t>
        </is>
      </c>
      <c r="B2465" s="3" t="inlineStr">
        <is>
          <t>생산관리지역</t>
        </is>
      </c>
      <c r="C2465" s="3" t="inlineStr">
        <is>
          <t>과수원</t>
        </is>
      </c>
      <c r="D2465" s="3" t="inlineStr">
        <is>
          <t>과수원</t>
        </is>
      </c>
      <c r="E2465" s="3" t="inlineStr">
        <is>
          <t>매매</t>
        </is>
      </c>
      <c r="F2465" s="4" t="n">
        <v>101500</v>
      </c>
      <c r="G2465" s="4" t="n">
        <v>990</v>
      </c>
      <c r="H2465" s="4" t="n">
        <v>299</v>
      </c>
      <c r="I2465" s="5" t="n">
        <v>339.5</v>
      </c>
      <c r="J2465" s="5" t="n">
        <v>57.6</v>
      </c>
      <c r="K2465" s="3" t="inlineStr">
        <is>
          <t>ktx세종역세종ic예정지인근,접근성좋음.세종청사20분.21필지가능</t>
        </is>
      </c>
      <c r="L2465" s="6">
        <f>HYPERLINK("https://fin.land.naver.com/articles/2651737390", "매물Link")</f>
        <v/>
      </c>
      <c r="M2465" s="6">
        <f>HYPERLINK("https://map.naver.com/p/search/장군면 도계리 355-18", "지도Link")</f>
        <v/>
      </c>
      <c r="N2465" s="6">
        <f>HYPERLINK("http://www.eum.go.kr/web/ar/lu/luLandDet.jsp?pnu=3611035021103550018&amp;isNoScr=script&amp;mode=search", "토지이음")</f>
        <v/>
      </c>
      <c r="O2465" s="3" t="inlineStr">
        <is>
          <t>온담</t>
        </is>
      </c>
      <c r="P2465" s="4" t="n">
        <v>1</v>
      </c>
      <c r="Q2465" s="4" t="n">
        <v>990</v>
      </c>
      <c r="R2465" s="3" t="inlineStr">
        <is>
          <t>지정되지않음</t>
        </is>
      </c>
      <c r="S2465" s="3" t="inlineStr">
        <is>
          <t>과수원</t>
        </is>
      </c>
      <c r="T2465" s="3" t="inlineStr">
        <is>
          <t>완경사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도계리 391-5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99600</v>
      </c>
      <c r="G2466" s="4" t="n">
        <v>2196</v>
      </c>
      <c r="H2466" s="4" t="n">
        <v>664</v>
      </c>
      <c r="I2466" s="5" t="n">
        <v>150</v>
      </c>
      <c r="J2466" s="5" t="n">
        <v>36.4</v>
      </c>
      <c r="K2466" s="3" t="inlineStr">
        <is>
          <t>nan</t>
        </is>
      </c>
      <c r="L2466" s="6">
        <f>HYPERLINK("https://fin.land.naver.com/articles/2652692144", "매물Link")</f>
        <v/>
      </c>
      <c r="M2466" s="6">
        <f>HYPERLINK("https://map.naver.com/p/search/장군면 도계리 391-5", "지도Link")</f>
        <v/>
      </c>
      <c r="N2466" s="6">
        <f>HYPERLINK("http://www.eum.go.kr/web/ar/lu/luLandDet.jsp?pnu=3611035021103910005&amp;isNoScr=script&amp;mode=search",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1866.8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세로각지(가)</t>
        </is>
      </c>
    </row>
    <row r="2467">
      <c r="A2467" s="3" t="inlineStr">
        <is>
          <t>장군면 도계리 44-5</t>
        </is>
      </c>
      <c r="B2467" s="3" t="inlineStr">
        <is>
          <t>계획관리지역</t>
        </is>
      </c>
      <c r="C2467" s="3" t="inlineStr">
        <is>
          <t>대</t>
        </is>
      </c>
      <c r="D2467" s="3" t="inlineStr">
        <is>
          <t>대</t>
        </is>
      </c>
      <c r="E2467" s="3" t="inlineStr">
        <is>
          <t>매매</t>
        </is>
      </c>
      <c r="F2467" s="4" t="n">
        <v>68000</v>
      </c>
      <c r="G2467" s="4" t="n">
        <v>366</v>
      </c>
      <c r="H2467" s="4" t="n">
        <v>111</v>
      </c>
      <c r="I2467" s="5" t="n">
        <v>612.6</v>
      </c>
      <c r="J2467" s="5" t="n">
        <v>230.4</v>
      </c>
      <c r="K2467" s="3" t="inlineStr">
        <is>
          <t>상가. 카페 건축 최적</t>
        </is>
      </c>
      <c r="L2467" s="6">
        <f>HYPERLINK("https://fin.land.naver.com/articles/2652688315", "매물Link")</f>
        <v/>
      </c>
      <c r="M2467" s="6">
        <f>HYPERLINK("https://map.naver.com/p/search/장군면 도계리 44-5", "지도Link")</f>
        <v/>
      </c>
      <c r="N2467" s="6">
        <f>HYPERLINK("http://www.eum.go.kr/web/ar/lu/luLandDet.jsp?pnu=3611035021100440005&amp;isNoScr=script&amp;mode=search",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366</v>
      </c>
      <c r="R2467" s="3" t="inlineStr">
        <is>
          <t>지정되지않음</t>
        </is>
      </c>
      <c r="S2467" s="3" t="inlineStr">
        <is>
          <t>단독</t>
        </is>
      </c>
      <c r="T2467" s="3" t="inlineStr">
        <is>
          <t>평지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도계리 85-3</t>
        </is>
      </c>
      <c r="B2468" s="3" t="inlineStr">
        <is>
          <t>농림지역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108780</v>
      </c>
      <c r="G2468" s="4" t="n">
        <v>1943</v>
      </c>
      <c r="H2468" s="4" t="n">
        <v>588</v>
      </c>
      <c r="I2468" s="5" t="n">
        <v>185</v>
      </c>
      <c r="J2468" s="5" t="n">
        <v>65.90000000000001</v>
      </c>
      <c r="K2468" s="3" t="inlineStr">
        <is>
          <t>nan</t>
        </is>
      </c>
      <c r="L2468" s="6">
        <f>HYPERLINK("https://fin.land.naver.com/articles/2655278158", "매물Link")</f>
        <v/>
      </c>
      <c r="M2468" s="6">
        <f>HYPERLINK("https://map.naver.com/p/search/장군면 도계리 85-3", "지도Link")</f>
        <v/>
      </c>
      <c r="N2468" s="6">
        <f>HYPERLINK("http://www.eum.go.kr/web/ar/lu/luLandDet.jsp?pnu=3611035021100850003&amp;isNoScr=script&amp;mode=search", "토지이음")</f>
        <v/>
      </c>
      <c r="O2468" s="3" t="inlineStr">
        <is>
          <t>강변</t>
        </is>
      </c>
      <c r="P2468" s="4" t="n">
        <v>1</v>
      </c>
      <c r="Q2468" s="4" t="n">
        <v>1945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세로한면(가)</t>
        </is>
      </c>
    </row>
    <row r="2469">
      <c r="A2469" s="3" t="inlineStr">
        <is>
          <t>장군면 도계리 90-1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75000</v>
      </c>
      <c r="G2469" s="4" t="n">
        <v>331</v>
      </c>
      <c r="H2469" s="4" t="n">
        <v>100</v>
      </c>
      <c r="I2469" s="5" t="n">
        <v>750</v>
      </c>
      <c r="J2469" s="5" t="n">
        <v>235.6</v>
      </c>
      <c r="K2469" s="3" t="inlineStr">
        <is>
          <t>지구단위계획구역 2차선도로 계획관리지역 알토란토지,다용도사용가능</t>
        </is>
      </c>
      <c r="L2469" s="6">
        <f>HYPERLINK("https://fin.land.naver.com/articles/2655304107", "매물Link")</f>
        <v/>
      </c>
      <c r="M2469" s="6">
        <f>HYPERLINK("https://map.naver.com/p/search/장군면 도계리 90-1", "지도Link")</f>
        <v/>
      </c>
      <c r="N2469" s="6">
        <f>HYPERLINK("http://www.eum.go.kr/web/ar/lu/luLandDet.jsp?pnu=3611035021100900001&amp;isNoScr=script&amp;mode=search", "토지이음")</f>
        <v/>
      </c>
      <c r="O2469" s="3" t="inlineStr">
        <is>
          <t>고운맘</t>
        </is>
      </c>
      <c r="P2469" s="4" t="n">
        <v>1</v>
      </c>
      <c r="Q2469" s="4" t="n">
        <v>331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도계리 90-1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75000</v>
      </c>
      <c r="G2470" s="4" t="n">
        <v>331</v>
      </c>
      <c r="H2470" s="4" t="n">
        <v>100</v>
      </c>
      <c r="I2470" s="5" t="n">
        <v>750</v>
      </c>
      <c r="J2470" s="5" t="n">
        <v>235.6</v>
      </c>
      <c r="K2470" s="3" t="inlineStr">
        <is>
          <t>장군면 서부농협 근접한 2차선 통행량 많은 도로옆 토지</t>
        </is>
      </c>
      <c r="L2470" s="6">
        <f>HYPERLINK("https://fin.land.naver.com/articles/2654426933", "매물Link")</f>
        <v/>
      </c>
      <c r="M2470" s="6">
        <f>HYPERLINK("https://map.naver.com/p/search/장군면 도계리 90-1", "지도Link")</f>
        <v/>
      </c>
      <c r="N2470" s="6">
        <f>HYPERLINK("http://www.eum.go.kr/web/ar/lu/luLandDet.jsp?pnu=3611035021100900001&amp;isNoScr=script&amp;mode=search", "토지이음")</f>
        <v/>
      </c>
      <c r="O2470" s="3" t="inlineStr">
        <is>
          <t>발품</t>
        </is>
      </c>
      <c r="P2470" s="4" t="n">
        <v>3</v>
      </c>
      <c r="Q2470" s="4" t="n">
        <v>331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도계리 90-8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230000</v>
      </c>
      <c r="G2471" s="4" t="n">
        <v>1086</v>
      </c>
      <c r="H2471" s="4" t="n">
        <v>329</v>
      </c>
      <c r="I2471" s="5" t="n">
        <v>699.1</v>
      </c>
      <c r="J2471" s="5" t="n">
        <v>230.3</v>
      </c>
      <c r="K2471" s="3" t="inlineStr">
        <is>
          <t>세종시 최고의 투자처,대형 커피숍,대형 음식점 ,회사사옥건축 추천</t>
        </is>
      </c>
      <c r="L2471" s="6">
        <f>HYPERLINK("https://fin.land.naver.com/articles/2653886310", "매물Link")</f>
        <v/>
      </c>
      <c r="M2471" s="6">
        <f>HYPERLINK("https://map.naver.com/p/search/장군면 도계리 90-8", "지도Link")</f>
        <v/>
      </c>
      <c r="N2471" s="6">
        <f>HYPERLINK("http://www.eum.go.kr/web/ar/lu/luLandDet.jsp?pnu=3611035021100900008&amp;isNoScr=script&amp;mode=search", "토지이음")</f>
        <v/>
      </c>
      <c r="O2471" s="3" t="inlineStr">
        <is>
          <t>세종공주제일</t>
        </is>
      </c>
      <c r="P2471" s="4" t="n">
        <v>1</v>
      </c>
      <c r="Q2471" s="4" t="n">
        <v>166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도계리 산2-9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99000</v>
      </c>
      <c r="G2472" s="4" t="n">
        <v>4959</v>
      </c>
      <c r="H2472" s="4" t="n">
        <v>1500</v>
      </c>
      <c r="I2472" s="5" t="n">
        <v>66</v>
      </c>
      <c r="J2472" s="5" t="n">
        <v>37.3</v>
      </c>
      <c r="K2472" s="3" t="inlineStr">
        <is>
          <t>도로접한 임야</t>
        </is>
      </c>
      <c r="L2472" s="6">
        <f>HYPERLINK("https://fin.land.naver.com/articles/2655058756", "매물Link")</f>
        <v/>
      </c>
      <c r="M2472" s="6">
        <f>HYPERLINK("https://map.naver.com/p/search/장군면 도계리 산2-9", "지도Link")</f>
        <v/>
      </c>
      <c r="N2472" s="6">
        <f>HYPERLINK("http://www.eum.go.kr/web/ar/lu/luLandDet.jsp?pnu=3611035021200020009&amp;isNoScr=script&amp;mode=search", "토지이음")</f>
        <v/>
      </c>
      <c r="O2472" s="3" t="inlineStr">
        <is>
          <t>세종대박</t>
        </is>
      </c>
      <c r="P2472" s="4" t="n">
        <v>2</v>
      </c>
      <c r="Q2472" s="4" t="n">
        <v>4959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봉안리 12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400000</v>
      </c>
      <c r="G2473" s="4" t="n">
        <v>6608</v>
      </c>
      <c r="H2473" s="4" t="n">
        <v>1999</v>
      </c>
      <c r="I2473" s="5" t="n">
        <v>200.1</v>
      </c>
      <c r="J2473" s="5" t="n">
        <v>137.5</v>
      </c>
      <c r="K2473" s="3" t="inlineStr">
        <is>
          <t>계획관리토지</t>
        </is>
      </c>
      <c r="L2473" s="6">
        <f>HYPERLINK("https://fin.land.naver.com/articles/2651704292", "매물Link")</f>
        <v/>
      </c>
      <c r="M2473" s="6">
        <f>HYPERLINK("https://map.naver.com/p/search/장군면 봉안리 12", "지도Link")</f>
        <v/>
      </c>
      <c r="N2473" s="6">
        <f>HYPERLINK("http://www.eum.go.kr/web/ar/lu/luLandDet.jsp?pnu=3611035024100120000&amp;isNoScr=script&amp;mode=search", "토지이음")</f>
        <v/>
      </c>
      <c r="O2473" s="3" t="inlineStr">
        <is>
          <t>형제</t>
        </is>
      </c>
      <c r="P2473" s="4" t="n">
        <v>1</v>
      </c>
      <c r="Q2473" s="4" t="n">
        <v>6608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봉안리 16</t>
        </is>
      </c>
      <c r="B2474" s="3" t="inlineStr">
        <is>
          <t>계획관리지역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240000</v>
      </c>
      <c r="G2474" s="4" t="n">
        <v>2631</v>
      </c>
      <c r="H2474" s="4" t="n">
        <v>796</v>
      </c>
      <c r="I2474" s="5" t="n">
        <v>301.5</v>
      </c>
      <c r="J2474" s="5" t="n">
        <v>140.4</v>
      </c>
      <c r="K2474" s="3" t="inlineStr">
        <is>
          <t>nan</t>
        </is>
      </c>
      <c r="L2474" s="6">
        <f>HYPERLINK("https://fin.land.naver.com/articles/2652613829", "매물Link")</f>
        <v/>
      </c>
      <c r="M2474" s="6">
        <f>HYPERLINK("https://map.naver.com/p/search/장군면 봉안리 16", "지도Link")</f>
        <v/>
      </c>
      <c r="N2474" s="6">
        <f>HYPERLINK("http://www.eum.go.kr/web/ar/lu/luLandDet.jsp?pnu=3611035024100160000&amp;isNoScr=script&amp;mode=search", "토지이음")</f>
        <v/>
      </c>
      <c r="O2474" s="3" t="inlineStr">
        <is>
          <t>세종</t>
        </is>
      </c>
      <c r="P2474" s="4" t="n">
        <v>1</v>
      </c>
      <c r="Q2474" s="4" t="n">
        <v>2631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봉안리 198</t>
        </is>
      </c>
      <c r="B2475" s="3" t="inlineStr">
        <is>
          <t>계획관리지역</t>
        </is>
      </c>
      <c r="C2475" s="3" t="inlineStr">
        <is>
          <t>잡종지</t>
        </is>
      </c>
      <c r="D2475" s="3" t="inlineStr">
        <is>
          <t>잡종지</t>
        </is>
      </c>
      <c r="E2475" s="3" t="inlineStr">
        <is>
          <t>매매</t>
        </is>
      </c>
      <c r="F2475" s="4" t="n">
        <v>750000</v>
      </c>
      <c r="G2475" s="4" t="n">
        <v>1886</v>
      </c>
      <c r="H2475" s="4" t="n">
        <v>571</v>
      </c>
      <c r="I2475" s="5" t="n">
        <v>1313.5</v>
      </c>
      <c r="J2475" s="5" t="n">
        <v>231.9</v>
      </c>
      <c r="K2475" s="3" t="inlineStr">
        <is>
          <t>nan</t>
        </is>
      </c>
      <c r="L2475" s="6">
        <f>HYPERLINK("https://fin.land.naver.com/articles/2654182137", "매물Link")</f>
        <v/>
      </c>
      <c r="M2475" s="6">
        <f>HYPERLINK("https://map.naver.com/p/search/장군면 봉안리 198", "지도Link")</f>
        <v/>
      </c>
      <c r="N2475" s="6">
        <f>HYPERLINK("http://www.eum.go.kr/web/ar/lu/luLandDet.jsp?pnu=3611035024101980000&amp;isNoScr=script&amp;mode=search", "토지이음")</f>
        <v/>
      </c>
      <c r="O2475" s="3" t="inlineStr">
        <is>
          <t>다온</t>
        </is>
      </c>
      <c r="P2475" s="4" t="n">
        <v>1</v>
      </c>
      <c r="Q2475" s="4" t="n">
        <v>901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평지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봉안리 201-41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60000</v>
      </c>
      <c r="G2476" s="4" t="n">
        <v>567</v>
      </c>
      <c r="H2476" s="4" t="n">
        <v>172</v>
      </c>
      <c r="I2476" s="5" t="n">
        <v>348.8</v>
      </c>
      <c r="J2476" s="5" t="n">
        <v>271.6</v>
      </c>
      <c r="K2476" s="3" t="inlineStr">
        <is>
          <t>nan</t>
        </is>
      </c>
      <c r="L2476" s="6">
        <f>HYPERLINK("https://fin.land.naver.com/articles/2652795048", "매물Link")</f>
        <v/>
      </c>
      <c r="M2476" s="6">
        <f>HYPERLINK("https://map.naver.com/p/search/장군면 봉안리 201-41", "지도Link")</f>
        <v/>
      </c>
      <c r="N2476" s="6">
        <f>HYPERLINK("http://www.eum.go.kr/web/ar/lu/luLandDet.jsp?pnu=3611035024102010041&amp;isNoScr=script&amp;mode=search", "토지이음")</f>
        <v/>
      </c>
      <c r="O2476" s="3" t="inlineStr">
        <is>
          <t>강아지풀</t>
        </is>
      </c>
      <c r="P2476" s="4" t="n">
        <v>2</v>
      </c>
      <c r="Q2476" s="4" t="n">
        <v>567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봉안리 201-41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70000</v>
      </c>
      <c r="G2477" s="4" t="n">
        <v>567</v>
      </c>
      <c r="H2477" s="4" t="n">
        <v>172</v>
      </c>
      <c r="I2477" s="5" t="n">
        <v>407</v>
      </c>
      <c r="J2477" s="5" t="n">
        <v>271.6</v>
      </c>
      <c r="K2477" s="3" t="inlineStr">
        <is>
          <t>초급매,계획관리,단독주택,사무실,카페,식당,물류택배창고 등 다목적용도가능</t>
        </is>
      </c>
      <c r="L2477" s="6">
        <f>HYPERLINK("https://fin.land.naver.com/articles/2653222306", "매물Link")</f>
        <v/>
      </c>
      <c r="M2477" s="6">
        <f>HYPERLINK("https://map.naver.com/p/search/장군면 봉안리 201-41", "지도Link")</f>
        <v/>
      </c>
      <c r="N2477" s="6">
        <f>HYPERLINK("http://www.eum.go.kr/web/ar/lu/luLandDet.jsp?pnu=3611035024102010041&amp;isNoScr=script&amp;mode=search",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567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사다리형</t>
        </is>
      </c>
      <c r="V2477" s="3" t="inlineStr">
        <is>
          <t>세로한면(가)</t>
        </is>
      </c>
    </row>
    <row r="2478">
      <c r="A2478" s="3" t="inlineStr">
        <is>
          <t>장군면 봉안리 201-60</t>
        </is>
      </c>
      <c r="B2478" s="3" t="inlineStr">
        <is>
          <t>계획관리지역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203167</v>
      </c>
      <c r="G2478" s="4" t="n">
        <v>1429</v>
      </c>
      <c r="H2478" s="4" t="n">
        <v>432</v>
      </c>
      <c r="I2478" s="5" t="n">
        <v>470.3</v>
      </c>
      <c r="J2478" s="5" t="n">
        <v>97.3</v>
      </c>
      <c r="K2478" s="3" t="inlineStr">
        <is>
          <t>급매,신도시 최단거리푸드타운 접, 건축인허가 득한 토지,조율가</t>
        </is>
      </c>
      <c r="L2478" s="6">
        <f>HYPERLINK("https://fin.land.naver.com/articles/2654553694", "매물Link")</f>
        <v/>
      </c>
      <c r="M2478" s="6">
        <f>HYPERLINK("https://map.naver.com/p/search/장군면 봉안리 201-60", "지도Link")</f>
        <v/>
      </c>
      <c r="N2478" s="6">
        <f>HYPERLINK("http://www.eum.go.kr/web/ar/lu/luLandDet.jsp?pnu=3611035024102010060&amp;isNoScr=script&amp;mode=search", "토지이음")</f>
        <v/>
      </c>
      <c r="O2478" s="3" t="inlineStr">
        <is>
          <t>바로그</t>
        </is>
      </c>
      <c r="P2478" s="4" t="n">
        <v>1</v>
      </c>
      <c r="Q2478" s="4" t="n">
        <v>735</v>
      </c>
      <c r="R2478" s="3" t="inlineStr">
        <is>
          <t>지정되지않음</t>
        </is>
      </c>
      <c r="S2478" s="3" t="inlineStr">
        <is>
          <t>자연림</t>
        </is>
      </c>
      <c r="T2478" s="3" t="inlineStr">
        <is>
          <t>완경사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봉안리 202-1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90400</v>
      </c>
      <c r="G2479" s="4" t="n">
        <v>767</v>
      </c>
      <c r="H2479" s="4" t="n">
        <v>232</v>
      </c>
      <c r="I2479" s="5" t="n">
        <v>389.7</v>
      </c>
      <c r="J2479" s="5" t="n">
        <v>119.4</v>
      </c>
      <c r="K2479" s="3" t="inlineStr">
        <is>
          <t>가격조율 가능,세종시 근접, 다세대 주택 부지,전원주택부지 추천</t>
        </is>
      </c>
      <c r="L2479" s="6">
        <f>HYPERLINK("https://fin.land.naver.com/articles/2654854230", "매물Link")</f>
        <v/>
      </c>
      <c r="M2479" s="6">
        <f>HYPERLINK("https://map.naver.com/p/search/장군면 봉안리 202-1", "지도Link")</f>
        <v/>
      </c>
      <c r="N2479" s="6">
        <f>HYPERLINK("http://www.eum.go.kr/web/ar/lu/luLandDet.jsp?pnu=3611035024102020001&amp;isNoScr=script&amp;mode=search", "토지이음")</f>
        <v/>
      </c>
      <c r="O2479" s="3" t="inlineStr">
        <is>
          <t>담뜰</t>
        </is>
      </c>
      <c r="P2479" s="4" t="n">
        <v>1</v>
      </c>
      <c r="Q2479" s="4" t="n">
        <v>767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봉안리 209-7</t>
        </is>
      </c>
      <c r="B2480" s="3" t="inlineStr">
        <is>
          <t>보전관리지역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131000</v>
      </c>
      <c r="G2480" s="4" t="n">
        <v>865</v>
      </c>
      <c r="H2480" s="4" t="n">
        <v>262</v>
      </c>
      <c r="I2480" s="5" t="n">
        <v>500</v>
      </c>
      <c r="J2480" s="5" t="n">
        <v>175.3</v>
      </c>
      <c r="K2480" s="3" t="inlineStr">
        <is>
          <t>현재 주택임</t>
        </is>
      </c>
      <c r="L2480" s="6">
        <f>HYPERLINK("https://fin.land.naver.com/articles/2651002094", "매물Link")</f>
        <v/>
      </c>
      <c r="M2480" s="6">
        <f>HYPERLINK("https://map.naver.com/p/search/장군면 봉안리 209-7", "지도Link")</f>
        <v/>
      </c>
      <c r="N2480" s="6">
        <f>HYPERLINK("http://www.eum.go.kr/web/ar/lu/luLandDet.jsp?pnu=3611035024102090007&amp;isNoScr=script&amp;mode=search", "토지이음")</f>
        <v/>
      </c>
      <c r="O2480" s="3" t="inlineStr">
        <is>
          <t>노은밸리</t>
        </is>
      </c>
      <c r="P2480" s="4" t="n">
        <v>1</v>
      </c>
      <c r="Q2480" s="4" t="n">
        <v>710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봉안리 213-3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29200</v>
      </c>
      <c r="G2481" s="4" t="n">
        <v>216</v>
      </c>
      <c r="H2481" s="4" t="n">
        <v>65</v>
      </c>
      <c r="I2481" s="5" t="n">
        <v>449.2</v>
      </c>
      <c r="J2481" s="5" t="n">
        <v>254.8</v>
      </c>
      <c r="K2481" s="3" t="inlineStr">
        <is>
          <t>봉안리 아담한 주택지</t>
        </is>
      </c>
      <c r="L2481" s="6">
        <f>HYPERLINK("https://fin.land.naver.com/articles/2651783401", "매물Link")</f>
        <v/>
      </c>
      <c r="M2481" s="6">
        <f>HYPERLINK("https://map.naver.com/p/search/장군면 봉안리 213-3", "지도Link")</f>
        <v/>
      </c>
      <c r="N2481" s="6">
        <f>HYPERLINK("http://www.eum.go.kr/web/ar/lu/luLandDet.jsp?pnu=3611035024102130003&amp;isNoScr=script&amp;mode=search", "토지이음")</f>
        <v/>
      </c>
      <c r="O2481" s="3" t="inlineStr">
        <is>
          <t>세종천지</t>
        </is>
      </c>
      <c r="P2481" s="4" t="n">
        <v>1</v>
      </c>
      <c r="Q2481" s="4" t="n">
        <v>216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봉안리 216-12</t>
        </is>
      </c>
      <c r="B2482" s="3" t="inlineStr">
        <is>
          <t>계획관리지역</t>
        </is>
      </c>
      <c r="C2482" s="3" t="inlineStr">
        <is>
          <t>임야</t>
        </is>
      </c>
      <c r="D2482" s="3" t="inlineStr">
        <is>
          <t>임야</t>
        </is>
      </c>
      <c r="E2482" s="3" t="inlineStr">
        <is>
          <t>매매</t>
        </is>
      </c>
      <c r="F2482" s="4" t="n">
        <v>65000</v>
      </c>
      <c r="G2482" s="4" t="n">
        <v>755</v>
      </c>
      <c r="H2482" s="4" t="n">
        <v>228</v>
      </c>
      <c r="I2482" s="5" t="n">
        <v>285.1</v>
      </c>
      <c r="J2482" s="5" t="n">
        <v>239.6</v>
      </c>
      <c r="K2482" s="3" t="inlineStr">
        <is>
          <t>급매,건축허가 득한 조망좋은 계획관리 토지,카페자리로 추천</t>
        </is>
      </c>
      <c r="L2482" s="6">
        <f>HYPERLINK("https://fin.land.naver.com/articles/2654808521", "매물Link")</f>
        <v/>
      </c>
      <c r="M2482" s="6">
        <f>HYPERLINK("https://map.naver.com/p/search/장군면 봉안리 216-12", "지도Link")</f>
        <v/>
      </c>
      <c r="N2482" s="6">
        <f>HYPERLINK("http://www.eum.go.kr/web/ar/lu/luLandDet.jsp?pnu=3611035024102160012&amp;isNoScr=script&amp;mode=search", "토지이음")</f>
        <v/>
      </c>
      <c r="O2482" s="3" t="inlineStr">
        <is>
          <t>가치잇는</t>
        </is>
      </c>
      <c r="P2482" s="4" t="n">
        <v>3</v>
      </c>
      <c r="Q2482" s="4" t="n">
        <v>755</v>
      </c>
      <c r="R2482" s="3" t="inlineStr">
        <is>
          <t>지정되지않음</t>
        </is>
      </c>
      <c r="S2482" s="3" t="inlineStr">
        <is>
          <t>주거나지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봉안리 216-12</t>
        </is>
      </c>
      <c r="B2483" s="3" t="inlineStr">
        <is>
          <t>계획관리지역</t>
        </is>
      </c>
      <c r="C2483" s="3" t="inlineStr">
        <is>
          <t>임야</t>
        </is>
      </c>
      <c r="D2483" s="3" t="inlineStr">
        <is>
          <t>임야</t>
        </is>
      </c>
      <c r="E2483" s="3" t="inlineStr">
        <is>
          <t>매매</t>
        </is>
      </c>
      <c r="F2483" s="4" t="n">
        <v>65000</v>
      </c>
      <c r="G2483" s="4" t="n">
        <v>755</v>
      </c>
      <c r="H2483" s="4" t="n">
        <v>228</v>
      </c>
      <c r="I2483" s="5" t="n">
        <v>285.1</v>
      </c>
      <c r="J2483" s="5" t="n">
        <v>239.6</v>
      </c>
      <c r="K2483" s="3" t="inlineStr">
        <is>
          <t>급매,도로접한 계획관리,지대 높은 전원주택지,투자가치 상승 기대되는 토지</t>
        </is>
      </c>
      <c r="L2483" s="6">
        <f>HYPERLINK("https://fin.land.naver.com/articles/2651453500", "매물Link")</f>
        <v/>
      </c>
      <c r="M2483" s="6">
        <f>HYPERLINK("https://map.naver.com/p/search/장군면 봉안리 216-12", "지도Link")</f>
        <v/>
      </c>
      <c r="N2483" s="6">
        <f>HYPERLINK("http://www.eum.go.kr/web/ar/lu/luLandDet.jsp?pnu=3611035024102160012&amp;isNoScr=script&amp;mode=search", "토지이음")</f>
        <v/>
      </c>
      <c r="O2483" s="3" t="inlineStr">
        <is>
          <t>고운맘</t>
        </is>
      </c>
      <c r="P2483" s="4" t="n">
        <v>1</v>
      </c>
      <c r="Q2483" s="4" t="n">
        <v>755</v>
      </c>
      <c r="R2483" s="3" t="inlineStr">
        <is>
          <t>지정되지않음</t>
        </is>
      </c>
      <c r="S2483" s="3" t="inlineStr">
        <is>
          <t>주거나지</t>
        </is>
      </c>
      <c r="T2483" s="3" t="inlineStr">
        <is>
          <t>완경사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봉안리 216-12</t>
        </is>
      </c>
      <c r="B2484" s="3" t="inlineStr">
        <is>
          <t>계획관리지역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65000</v>
      </c>
      <c r="G2484" s="4" t="n">
        <v>768</v>
      </c>
      <c r="H2484" s="4" t="n">
        <v>232</v>
      </c>
      <c r="I2484" s="5" t="n">
        <v>280.2</v>
      </c>
      <c r="J2484" s="5" t="n">
        <v>239.6</v>
      </c>
      <c r="K2484" s="3" t="inlineStr">
        <is>
          <t>도로지분 포함, 건축허가되어 있는 가치있는 토지에 투자하세요</t>
        </is>
      </c>
      <c r="L2484" s="6">
        <f>HYPERLINK("https://fin.land.naver.com/articles/2655207829", "매물Link")</f>
        <v/>
      </c>
      <c r="M2484" s="6">
        <f>HYPERLINK("https://map.naver.com/p/search/장군면 봉안리 216-12", "지도Link")</f>
        <v/>
      </c>
      <c r="N2484" s="6">
        <f>HYPERLINK("http://www.eum.go.kr/web/ar/lu/luLandDet.jsp?pnu=3611035024102160012&amp;isNoScr=script&amp;mode=search", "토지이음")</f>
        <v/>
      </c>
      <c r="O2484" s="3" t="inlineStr">
        <is>
          <t>수자인시티</t>
        </is>
      </c>
      <c r="P2484" s="4" t="n">
        <v>2</v>
      </c>
      <c r="Q2484" s="4" t="n">
        <v>755</v>
      </c>
      <c r="R2484" s="3" t="inlineStr">
        <is>
          <t>지정되지않음</t>
        </is>
      </c>
      <c r="S2484" s="3" t="inlineStr">
        <is>
          <t>주거나지</t>
        </is>
      </c>
      <c r="T2484" s="3" t="inlineStr">
        <is>
          <t>완경사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봉안리 216-24</t>
        </is>
      </c>
      <c r="B2485" s="3" t="inlineStr">
        <is>
          <t>계획관리지역</t>
        </is>
      </c>
      <c r="C2485" s="3" t="inlineStr">
        <is>
          <t>임야</t>
        </is>
      </c>
      <c r="D2485" s="3" t="inlineStr">
        <is>
          <t>임야</t>
        </is>
      </c>
      <c r="E2485" s="3" t="inlineStr">
        <is>
          <t>매매</t>
        </is>
      </c>
      <c r="F2485" s="4" t="n">
        <v>70000</v>
      </c>
      <c r="G2485" s="4" t="n">
        <v>678</v>
      </c>
      <c r="H2485" s="4" t="n">
        <v>205</v>
      </c>
      <c r="I2485" s="5" t="n">
        <v>341.5</v>
      </c>
      <c r="J2485" s="5" t="n">
        <v>336.9</v>
      </c>
      <c r="K2485" s="3" t="inlineStr">
        <is>
          <t>지대 높은 조망권뷰최상 전원주택지,고운.다정동5분거리,투자가치상승</t>
        </is>
      </c>
      <c r="L2485" s="6">
        <f>HYPERLINK("https://fin.land.naver.com/articles/2655575994", "매물Link")</f>
        <v/>
      </c>
      <c r="M2485" s="6">
        <f>HYPERLINK("https://map.naver.com/p/search/장군면 봉안리 216-24", "지도Link")</f>
        <v/>
      </c>
      <c r="N2485" s="6">
        <f>HYPERLINK("http://www.eum.go.kr/web/ar/lu/luLandDet.jsp?pnu=3611035024102160024&amp;isNoScr=script&amp;mode=search",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678</v>
      </c>
      <c r="R2485" s="3" t="inlineStr">
        <is>
          <t>지정되지않음</t>
        </is>
      </c>
      <c r="S2485" s="3" t="inlineStr">
        <is>
          <t>주상용</t>
        </is>
      </c>
      <c r="T2485" s="3" t="inlineStr">
        <is>
          <t>완경사</t>
        </is>
      </c>
      <c r="U2485" s="3" t="inlineStr">
        <is>
          <t>가로장방</t>
        </is>
      </c>
      <c r="V2485" s="3" t="inlineStr">
        <is>
          <t>세로각지(가)</t>
        </is>
      </c>
    </row>
    <row r="2486">
      <c r="A2486" s="3" t="inlineStr">
        <is>
          <t>장군면 봉안리 22-100</t>
        </is>
      </c>
      <c r="B2486" s="3" t="inlineStr">
        <is>
          <t>보전관리지역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35000</v>
      </c>
      <c r="G2486" s="4" t="n">
        <v>333</v>
      </c>
      <c r="H2486" s="4" t="n">
        <v>101</v>
      </c>
      <c r="I2486" s="5" t="n">
        <v>346.5</v>
      </c>
      <c r="J2486" s="5" t="n">
        <v>208.8</v>
      </c>
      <c r="K2486" s="3" t="inlineStr">
        <is>
          <t>전망좋고 세종행복도시 생활권 누릴 수 있는 전원주택지 매도</t>
        </is>
      </c>
      <c r="L2486" s="6">
        <f>HYPERLINK("https://fin.land.naver.com/articles/2656194512", "매물Link")</f>
        <v/>
      </c>
      <c r="M2486" s="6">
        <f>HYPERLINK("https://map.naver.com/p/search/장군면 봉안리 22-100", "지도Link")</f>
        <v/>
      </c>
      <c r="N2486" s="6">
        <f>HYPERLINK("http://www.eum.go.kr/web/ar/lu/luLandDet.jsp?pnu=3611035024100220100&amp;isNoScr=script&amp;mode=search", "토지이음")</f>
        <v/>
      </c>
      <c r="O2486" s="3" t="inlineStr">
        <is>
          <t>번영</t>
        </is>
      </c>
      <c r="P2486" s="4" t="n">
        <v>1</v>
      </c>
      <c r="Q2486" s="4" t="n">
        <v>333</v>
      </c>
      <c r="R2486" s="3" t="inlineStr">
        <is>
          <t>지정되지않음</t>
        </is>
      </c>
      <c r="S2486" s="3" t="inlineStr">
        <is>
          <t>주거나지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봉안리 22-112</t>
        </is>
      </c>
      <c r="B2487" s="3" t="inlineStr">
        <is>
          <t>보전관리지역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38000</v>
      </c>
      <c r="G2487" s="4" t="n">
        <v>310</v>
      </c>
      <c r="H2487" s="4" t="n">
        <v>94</v>
      </c>
      <c r="I2487" s="5" t="n">
        <v>404.3</v>
      </c>
      <c r="J2487" s="5" t="n">
        <v>212.5</v>
      </c>
      <c r="K2487" s="3" t="inlineStr">
        <is>
          <t>세종시 접한 전원주택지 , 기반시설 완</t>
        </is>
      </c>
      <c r="L2487" s="6">
        <f>HYPERLINK("https://fin.land.naver.com/articles/2651677545", "매물Link")</f>
        <v/>
      </c>
      <c r="M2487" s="6">
        <f>HYPERLINK("https://map.naver.com/p/search/장군면 봉안리 22-112", "지도Link")</f>
        <v/>
      </c>
      <c r="N2487" s="6">
        <f>HYPERLINK("http://www.eum.go.kr/web/ar/lu/luLandDet.jsp?pnu=3611035024100220112&amp;isNoScr=script&amp;mode=search", "토지이음")</f>
        <v/>
      </c>
      <c r="O2487" s="3" t="inlineStr">
        <is>
          <t>세종태양</t>
        </is>
      </c>
      <c r="P2487" s="4" t="n">
        <v>1</v>
      </c>
      <c r="Q2487" s="4" t="n">
        <v>255</v>
      </c>
      <c r="R2487" s="3" t="inlineStr">
        <is>
          <t>지정되지않음</t>
        </is>
      </c>
      <c r="S2487" s="3" t="inlineStr">
        <is>
          <t>주거나지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소로한면</t>
        </is>
      </c>
    </row>
    <row r="2488">
      <c r="A2488" s="3" t="inlineStr">
        <is>
          <t>장군면 봉안리 22-171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40000</v>
      </c>
      <c r="G2488" s="4" t="n">
        <v>339</v>
      </c>
      <c r="H2488" s="4" t="n">
        <v>103</v>
      </c>
      <c r="I2488" s="5" t="n">
        <v>388.3</v>
      </c>
      <c r="J2488" s="5" t="n">
        <v>210.5</v>
      </c>
      <c r="K2488" s="3" t="inlineStr">
        <is>
          <t>전원주택부지로 도로에 접하여 있으며,다정동 아파트에 인접해 있어요</t>
        </is>
      </c>
      <c r="L2488" s="6">
        <f>HYPERLINK("https://fin.land.naver.com/articles/2655698000", "매물Link")</f>
        <v/>
      </c>
      <c r="M2488" s="6">
        <f>HYPERLINK("https://map.naver.com/p/search/장군면 봉안리 22-171", "지도Link")</f>
        <v/>
      </c>
      <c r="N2488" s="6">
        <f>HYPERLINK("http://www.eum.go.kr/web/ar/lu/luLandDet.jsp?pnu=3611035024100220171&amp;isNoScr=script&amp;mode=search", "토지이음")</f>
        <v/>
      </c>
      <c r="O2488" s="3" t="inlineStr">
        <is>
          <t>송림탑</t>
        </is>
      </c>
      <c r="P2488" s="4" t="n">
        <v>1</v>
      </c>
      <c r="Q2488" s="4" t="n">
        <v>339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세로장방</t>
        </is>
      </c>
      <c r="V2488" s="3" t="inlineStr">
        <is>
          <t>세로각지(가)</t>
        </is>
      </c>
    </row>
    <row r="2489">
      <c r="A2489" s="3" t="inlineStr">
        <is>
          <t>장군면 봉안리 22-215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56000</v>
      </c>
      <c r="G2489" s="4" t="n">
        <v>347</v>
      </c>
      <c r="H2489" s="4" t="n">
        <v>105</v>
      </c>
      <c r="I2489" s="5" t="n">
        <v>533.3</v>
      </c>
      <c r="J2489" s="5" t="n">
        <v>194.2</v>
      </c>
      <c r="K2489" s="3" t="inlineStr">
        <is>
          <t>nan</t>
        </is>
      </c>
      <c r="L2489" s="6">
        <f>HYPERLINK("https://fin.land.naver.com/articles/2653247350", "매물Link")</f>
        <v/>
      </c>
      <c r="M2489" s="6">
        <f>HYPERLINK("https://map.naver.com/p/search/장군면 봉안리 22-215", "지도Link")</f>
        <v/>
      </c>
      <c r="N2489" s="6">
        <f>HYPERLINK("http://www.eum.go.kr/web/ar/lu/luLandDet.jsp?pnu=3611035024100220215&amp;isNoScr=script&amp;mode=search", "토지이음")</f>
        <v/>
      </c>
      <c r="O2489" s="3" t="inlineStr">
        <is>
          <t>다정가온아리</t>
        </is>
      </c>
      <c r="P2489" s="4" t="n">
        <v>1</v>
      </c>
      <c r="Q2489" s="4" t="n">
        <v>187</v>
      </c>
      <c r="R2489" s="3" t="inlineStr">
        <is>
          <t>지정되지않음</t>
        </is>
      </c>
      <c r="S2489" s="3" t="inlineStr">
        <is>
          <t>주거나지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봉안리 22-245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40000</v>
      </c>
      <c r="G2490" s="4" t="n">
        <v>330</v>
      </c>
      <c r="H2490" s="4" t="n">
        <v>100</v>
      </c>
      <c r="I2490" s="5" t="n">
        <v>400</v>
      </c>
      <c r="J2490" s="5" t="n">
        <v>218.8</v>
      </c>
      <c r="K2490" s="3" t="inlineStr">
        <is>
          <t>nan</t>
        </is>
      </c>
      <c r="L2490" s="6">
        <f>HYPERLINK("https://fin.land.naver.com/articles/2653654392", "매물Link")</f>
        <v/>
      </c>
      <c r="M2490" s="6">
        <f>HYPERLINK("https://map.naver.com/p/search/장군면 봉안리 22-245", "지도Link")</f>
        <v/>
      </c>
      <c r="N2490" s="6">
        <f>HYPERLINK("http://www.eum.go.kr/web/ar/lu/luLandDet.jsp?pnu=3611035024100220245&amp;isNoScr=script&amp;mode=search", "토지이음")</f>
        <v/>
      </c>
      <c r="O2490" s="3" t="inlineStr">
        <is>
          <t>세종몽땅</t>
        </is>
      </c>
      <c r="P2490" s="4" t="n">
        <v>1</v>
      </c>
      <c r="Q2490" s="4" t="n">
        <v>320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소로한면</t>
        </is>
      </c>
    </row>
    <row r="2491">
      <c r="A2491" s="3" t="inlineStr">
        <is>
          <t>장군면 봉안리 22-67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39500</v>
      </c>
      <c r="G2491" s="4" t="n">
        <v>321</v>
      </c>
      <c r="H2491" s="4" t="n">
        <v>97</v>
      </c>
      <c r="I2491" s="5" t="n">
        <v>407.2</v>
      </c>
      <c r="J2491" s="5" t="n">
        <v>194.2</v>
      </c>
      <c r="K2491" s="3" t="inlineStr">
        <is>
          <t>nan</t>
        </is>
      </c>
      <c r="L2491" s="6">
        <f>HYPERLINK("https://fin.land.naver.com/articles/2651596314", "매물Link")</f>
        <v/>
      </c>
      <c r="M2491" s="6">
        <f>HYPERLINK("https://map.naver.com/p/search/장군면 봉안리 22-67", "지도Link")</f>
        <v/>
      </c>
      <c r="N2491" s="6">
        <f>HYPERLINK("http://www.eum.go.kr/web/ar/lu/luLandDet.jsp?pnu=3611035024100220067&amp;isNoScr=script&amp;mode=search", "토지이음")</f>
        <v/>
      </c>
      <c r="O2491" s="3" t="inlineStr">
        <is>
          <t>세종몽땅</t>
        </is>
      </c>
      <c r="P2491" s="4" t="n">
        <v>1</v>
      </c>
      <c r="Q2491" s="4" t="n">
        <v>321</v>
      </c>
      <c r="R2491" s="3" t="inlineStr">
        <is>
          <t>지정되지않음</t>
        </is>
      </c>
      <c r="S2491" s="3" t="inlineStr">
        <is>
          <t>주거나지</t>
        </is>
      </c>
      <c r="T2491" s="3" t="inlineStr">
        <is>
          <t>완경사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봉안리 22-71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45000</v>
      </c>
      <c r="G2492" s="4" t="n">
        <v>323</v>
      </c>
      <c r="H2492" s="4" t="n">
        <v>98</v>
      </c>
      <c r="I2492" s="5" t="n">
        <v>459.2</v>
      </c>
      <c r="J2492" s="5" t="n">
        <v>194.2</v>
      </c>
      <c r="K2492" s="3" t="inlineStr">
        <is>
          <t>프라우드힐 단독주택지</t>
        </is>
      </c>
      <c r="L2492" s="6">
        <f>HYPERLINK("https://fin.land.naver.com/articles/2652349234", "매물Link")</f>
        <v/>
      </c>
      <c r="M2492" s="6">
        <f>HYPERLINK("https://map.naver.com/p/search/장군면 봉안리 22-71", "지도Link")</f>
        <v/>
      </c>
      <c r="N2492" s="6">
        <f>HYPERLINK("http://www.eum.go.kr/web/ar/lu/luLandDet.jsp?pnu=3611035024100220071&amp;isNoScr=script&amp;mode=search", "토지이음")</f>
        <v/>
      </c>
      <c r="O2492" s="3" t="inlineStr">
        <is>
          <t>세종몽땅</t>
        </is>
      </c>
      <c r="P2492" s="4" t="n">
        <v>1</v>
      </c>
      <c r="Q2492" s="4" t="n">
        <v>323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봉안리 22-71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38000</v>
      </c>
      <c r="G2493" s="4" t="n">
        <v>398</v>
      </c>
      <c r="H2493" s="4" t="n">
        <v>120</v>
      </c>
      <c r="I2493" s="5" t="n">
        <v>316.7</v>
      </c>
      <c r="J2493" s="5" t="n">
        <v>194.2</v>
      </c>
      <c r="K2493" s="3" t="inlineStr">
        <is>
          <t>급매,행복마을 프라우드힐,다정동 인접,벙커형 주차장가능,저렴한 택지</t>
        </is>
      </c>
      <c r="L2493" s="6">
        <f>HYPERLINK("https://fin.land.naver.com/articles/2650851587", "매물Link")</f>
        <v/>
      </c>
      <c r="M2493" s="6">
        <f>HYPERLINK("https://map.naver.com/p/search/장군면 봉안리 22-71", "지도Link")</f>
        <v/>
      </c>
      <c r="N2493" s="6">
        <f>HYPERLINK("http://www.eum.go.kr/web/ar/lu/luLandDet.jsp?pnu=3611035024100220071&amp;isNoScr=script&amp;mode=search", "토지이음")</f>
        <v/>
      </c>
      <c r="O2493" s="3" t="inlineStr">
        <is>
          <t>고운맘</t>
        </is>
      </c>
      <c r="P2493" s="4" t="n">
        <v>1</v>
      </c>
      <c r="Q2493" s="4" t="n">
        <v>323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봉안리 22-71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45000</v>
      </c>
      <c r="G2494" s="4" t="n">
        <v>323</v>
      </c>
      <c r="H2494" s="4" t="n">
        <v>98</v>
      </c>
      <c r="I2494" s="5" t="n">
        <v>459.2</v>
      </c>
      <c r="J2494" s="5" t="n">
        <v>194.2</v>
      </c>
      <c r="K2494" s="3" t="inlineStr">
        <is>
          <t>생명나무,장군면 프라우드힐 타운하우스 .행복도시 근접거리있어요</t>
        </is>
      </c>
      <c r="L2494" s="6">
        <f>HYPERLINK("https://fin.land.naver.com/articles/2655216556", "매물Link")</f>
        <v/>
      </c>
      <c r="M2494" s="6">
        <f>HYPERLINK("https://map.naver.com/p/search/장군면 봉안리 22-71", "지도Link")</f>
        <v/>
      </c>
      <c r="N2494" s="6">
        <f>HYPERLINK("http://www.eum.go.kr/web/ar/lu/luLandDet.jsp?pnu=3611035024100220071&amp;isNoScr=script&amp;mode=search", "토지이음")</f>
        <v/>
      </c>
      <c r="O2494" s="3" t="inlineStr">
        <is>
          <t>생명나무</t>
        </is>
      </c>
      <c r="P2494" s="4" t="n">
        <v>2</v>
      </c>
      <c r="Q2494" s="4" t="n">
        <v>323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봉안리 22-74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45000</v>
      </c>
      <c r="G2495" s="4" t="n">
        <v>323</v>
      </c>
      <c r="H2495" s="4" t="n">
        <v>98</v>
      </c>
      <c r="I2495" s="5" t="n">
        <v>459.2</v>
      </c>
      <c r="J2495" s="5" t="n">
        <v>194.2</v>
      </c>
      <c r="K2495" s="3" t="inlineStr">
        <is>
          <t>세종 행복도심 대전 공주 중심, 도보 5분 생활권 속 쾌적한 단독주택</t>
        </is>
      </c>
      <c r="L2495" s="6">
        <f>HYPERLINK("https://fin.land.naver.com/articles/2656520308", "매물Link")</f>
        <v/>
      </c>
      <c r="M2495" s="6">
        <f>HYPERLINK("https://map.naver.com/p/search/장군면 봉안리 22-74", "지도Link")</f>
        <v/>
      </c>
      <c r="N2495" s="6">
        <f>HYPERLINK("http://www.eum.go.kr/web/ar/lu/luLandDet.jsp?pnu=3611035024100220074&amp;isNoScr=script&amp;mode=search", "토지이음")</f>
        <v/>
      </c>
      <c r="O2495" s="3" t="inlineStr">
        <is>
          <t>세종신한</t>
        </is>
      </c>
      <c r="P2495" s="4" t="n">
        <v>1</v>
      </c>
      <c r="Q2495" s="4" t="n">
        <v>323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봉안리 22-95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40000</v>
      </c>
      <c r="G2496" s="4" t="n">
        <v>333</v>
      </c>
      <c r="H2496" s="4" t="n">
        <v>101</v>
      </c>
      <c r="I2496" s="5" t="n">
        <v>396</v>
      </c>
      <c r="J2496" s="5" t="n">
        <v>224.5</v>
      </c>
      <c r="K2496" s="3" t="inlineStr">
        <is>
          <t>전망 좋고 세종행복도시 생활권 누릴 수 있는 전원주택지 매도</t>
        </is>
      </c>
      <c r="L2496" s="6">
        <f>HYPERLINK("https://fin.land.naver.com/articles/2656194612", "매물Link")</f>
        <v/>
      </c>
      <c r="M2496" s="6">
        <f>HYPERLINK("https://map.naver.com/p/search/장군면 봉안리 22-95", "지도Link")</f>
        <v/>
      </c>
      <c r="N2496" s="6">
        <f>HYPERLINK("http://www.eum.go.kr/web/ar/lu/luLandDet.jsp?pnu=3611035024100220095&amp;isNoScr=script&amp;mode=search", "토지이음")</f>
        <v/>
      </c>
      <c r="O2496" s="3" t="inlineStr">
        <is>
          <t>번영</t>
        </is>
      </c>
      <c r="P2496" s="4" t="n">
        <v>1</v>
      </c>
      <c r="Q2496" s="4" t="n">
        <v>333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소로한면</t>
        </is>
      </c>
    </row>
    <row r="2497">
      <c r="A2497" s="3" t="inlineStr">
        <is>
          <t>장군면 봉안리 233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32000</v>
      </c>
      <c r="G2497" s="4" t="n">
        <v>873</v>
      </c>
      <c r="H2497" s="4" t="n">
        <v>264</v>
      </c>
      <c r="I2497" s="5" t="n">
        <v>121.2</v>
      </c>
      <c r="J2497" s="5" t="n">
        <v>115.7</v>
      </c>
      <c r="K2497" s="3" t="inlineStr">
        <is>
          <t>계획관리지역, 급매</t>
        </is>
      </c>
      <c r="L2497" s="6">
        <f>HYPERLINK("https://fin.land.naver.com/articles/2655607927", "매물Link")</f>
        <v/>
      </c>
      <c r="M2497" s="6">
        <f>HYPERLINK("https://map.naver.com/p/search/장군면 봉안리 233", "지도Link")</f>
        <v/>
      </c>
      <c r="N2497" s="6">
        <f>HYPERLINK("http://www.eum.go.kr/web/ar/lu/luLandDet.jsp?pnu=3611035024102330000&amp;isNoScr=script&amp;mode=search", "토지이음")</f>
        <v/>
      </c>
      <c r="O2497" s="3" t="inlineStr">
        <is>
          <t>세종엘리트</t>
        </is>
      </c>
      <c r="P2497" s="4" t="n">
        <v>1</v>
      </c>
      <c r="Q2497" s="4" t="n">
        <v>873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봉안리 25-5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198000</v>
      </c>
      <c r="G2498" s="4" t="n">
        <v>1455</v>
      </c>
      <c r="H2498" s="4" t="n">
        <v>440</v>
      </c>
      <c r="I2498" s="5" t="n">
        <v>450</v>
      </c>
      <c r="J2498" s="5" t="n">
        <v>147.7</v>
      </c>
      <c r="K2498" s="3" t="inlineStr">
        <is>
          <t>세종시2생활권 바로옆 계획관리지역 전</t>
        </is>
      </c>
      <c r="L2498" s="6">
        <f>HYPERLINK("https://fin.land.naver.com/articles/2650896765", "매물Link")</f>
        <v/>
      </c>
      <c r="M2498" s="6">
        <f>HYPERLINK("https://map.naver.com/p/search/장군면 봉안리 25-5", "지도Link")</f>
        <v/>
      </c>
      <c r="N2498" s="6">
        <f>HYPERLINK("http://www.eum.go.kr/web/ar/lu/luLandDet.jsp?pnu=3611035024100250005&amp;isNoScr=script&amp;mode=search", "토지이음")</f>
        <v/>
      </c>
      <c r="O2498" s="3" t="inlineStr">
        <is>
          <t>세종천지</t>
        </is>
      </c>
      <c r="P2498" s="4" t="n">
        <v>1</v>
      </c>
      <c r="Q2498" s="4" t="n">
        <v>1455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봉안리 25-5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220000</v>
      </c>
      <c r="G2499" s="4" t="n">
        <v>1455</v>
      </c>
      <c r="H2499" s="4" t="n">
        <v>440</v>
      </c>
      <c r="I2499" s="5" t="n">
        <v>500</v>
      </c>
      <c r="J2499" s="5" t="n">
        <v>147.7</v>
      </c>
      <c r="K2499" s="3" t="inlineStr">
        <is>
          <t>카페.사무실등 다용도 활용이 가능한 넉넉한 부지. 전망 굿</t>
        </is>
      </c>
      <c r="L2499" s="6">
        <f>HYPERLINK("https://fin.land.naver.com/articles/2656456651", "매물Link")</f>
        <v/>
      </c>
      <c r="M2499" s="6">
        <f>HYPERLINK("https://map.naver.com/p/search/장군면 봉안리 25-5", "지도Link")</f>
        <v/>
      </c>
      <c r="N2499" s="6">
        <f>HYPERLINK("http://www.eum.go.kr/web/ar/lu/luLandDet.jsp?pnu=3611035024100250005&amp;isNoScr=script&amp;mode=search", "토지이음")</f>
        <v/>
      </c>
      <c r="O2499" s="3" t="inlineStr">
        <is>
          <t>해마루</t>
        </is>
      </c>
      <c r="P2499" s="4" t="n">
        <v>1</v>
      </c>
      <c r="Q2499" s="4" t="n">
        <v>1455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완경사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봉안리 250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160000</v>
      </c>
      <c r="G2500" s="4" t="n">
        <v>1964</v>
      </c>
      <c r="H2500" s="4" t="n">
        <v>594</v>
      </c>
      <c r="I2500" s="5" t="n">
        <v>269.4</v>
      </c>
      <c r="J2500" s="5" t="n">
        <v>146.3</v>
      </c>
      <c r="K2500" s="3" t="inlineStr">
        <is>
          <t>조율가능 진입로길게접함 카페 음식점 창고 다용도</t>
        </is>
      </c>
      <c r="L2500" s="6">
        <f>HYPERLINK("https://fin.land.naver.com/articles/2653067576", "매물Link")</f>
        <v/>
      </c>
      <c r="M2500" s="6">
        <f>HYPERLINK("https://map.naver.com/p/search/장군면 봉안리 250", "지도Link")</f>
        <v/>
      </c>
      <c r="N2500" s="6">
        <f>HYPERLINK("http://www.eum.go.kr/web/ar/lu/luLandDet.jsp?pnu=3611035024102500000&amp;isNoScr=script&amp;mode=search", "토지이음")</f>
        <v/>
      </c>
      <c r="O2500" s="3" t="inlineStr">
        <is>
          <t>세종스타</t>
        </is>
      </c>
      <c r="P2500" s="4" t="n">
        <v>1</v>
      </c>
      <c r="Q2500" s="4" t="n">
        <v>1964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평지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봉안리 255-2</t>
        </is>
      </c>
      <c r="B2501" s="3" t="inlineStr">
        <is>
          <t>계획관리지역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69000</v>
      </c>
      <c r="G2501" s="4" t="n">
        <v>780</v>
      </c>
      <c r="H2501" s="4" t="n">
        <v>236</v>
      </c>
      <c r="I2501" s="5" t="n">
        <v>292.4</v>
      </c>
      <c r="J2501" s="5" t="n">
        <v>239.6</v>
      </c>
      <c r="K2501" s="3" t="inlineStr">
        <is>
          <t>장군면 봉안리 6m도로접한 근린상가적지</t>
        </is>
      </c>
      <c r="L2501" s="6">
        <f>HYPERLINK("https://fin.land.naver.com/articles/2652945883", "매물Link")</f>
        <v/>
      </c>
      <c r="M2501" s="6">
        <f>HYPERLINK("https://map.naver.com/p/search/장군면 봉안리 255-2", "지도Link")</f>
        <v/>
      </c>
      <c r="N2501" s="6">
        <f>HYPERLINK("http://www.eum.go.kr/web/ar/lu/luLandDet.jsp?pnu=3611035024102550002&amp;isNoScr=script&amp;mode=search", "토지이음")</f>
        <v/>
      </c>
      <c r="O2501" s="3" t="inlineStr">
        <is>
          <t>세종천지</t>
        </is>
      </c>
      <c r="P2501" s="4" t="n">
        <v>1</v>
      </c>
      <c r="Q2501" s="4" t="n">
        <v>584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봉안리 266-3</t>
        </is>
      </c>
      <c r="B2502" s="3" t="inlineStr">
        <is>
          <t>계획관리지역</t>
        </is>
      </c>
      <c r="C2502" s="3" t="inlineStr">
        <is>
          <t>목장용지</t>
        </is>
      </c>
      <c r="D2502" s="3" t="inlineStr">
        <is>
          <t>목장용지</t>
        </is>
      </c>
      <c r="E2502" s="3" t="inlineStr">
        <is>
          <t>매매</t>
        </is>
      </c>
      <c r="F2502" s="4" t="n">
        <v>51000</v>
      </c>
      <c r="G2502" s="4" t="n">
        <v>669</v>
      </c>
      <c r="H2502" s="4" t="n">
        <v>202</v>
      </c>
      <c r="I2502" s="5" t="n">
        <v>252.5</v>
      </c>
      <c r="J2502" s="5" t="n">
        <v>101.9</v>
      </c>
      <c r="K2502" s="3" t="inlineStr">
        <is>
          <t>세종 행복도시 바로 옆 계획관리 목장용지.대지와 같은 토지</t>
        </is>
      </c>
      <c r="L2502" s="6">
        <f>HYPERLINK("https://fin.land.naver.com/articles/2656008923", "매물Link")</f>
        <v/>
      </c>
      <c r="M2502" s="6">
        <f>HYPERLINK("https://map.naver.com/p/search/장군면 봉안리 266-3", "지도Link")</f>
        <v/>
      </c>
      <c r="N2502" s="6">
        <f>HYPERLINK("http://www.eum.go.kr/web/ar/lu/luLandDet.jsp?pnu=3611035024102660003&amp;isNoScr=script&amp;mode=search", "토지이음")</f>
        <v/>
      </c>
      <c r="O2502" s="3" t="inlineStr">
        <is>
          <t>노은탑</t>
        </is>
      </c>
      <c r="P2502" s="4" t="n">
        <v>1</v>
      </c>
      <c r="Q2502" s="4" t="n">
        <v>661</v>
      </c>
      <c r="R2502" s="3" t="inlineStr">
        <is>
          <t>지정되지않음</t>
        </is>
      </c>
      <c r="S2502" s="3" t="inlineStr">
        <is>
          <t>답기타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세로한면(불)</t>
        </is>
      </c>
    </row>
    <row r="2503">
      <c r="A2503" s="3" t="inlineStr">
        <is>
          <t>장군면 봉안리 269-1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2700000</v>
      </c>
      <c r="G2503" s="4" t="n">
        <v>77796</v>
      </c>
      <c r="H2503" s="4" t="n">
        <v>23533</v>
      </c>
      <c r="I2503" s="5" t="n">
        <v>114.7</v>
      </c>
      <c r="J2503" s="5" t="n">
        <v>42.6</v>
      </c>
      <c r="K2503" s="3" t="inlineStr">
        <is>
          <t>2차선접,나즈막한 야산,세종시인접</t>
        </is>
      </c>
      <c r="L2503" s="6">
        <f>HYPERLINK("https://fin.land.naver.com/articles/2652956966", "매물Link")</f>
        <v/>
      </c>
      <c r="M2503" s="6">
        <f>HYPERLINK("https://map.naver.com/p/search/장군면 봉안리 269-1", "지도Link")</f>
        <v/>
      </c>
      <c r="N2503" s="6">
        <f>HYPERLINK("http://www.eum.go.kr/web/ar/lu/luLandDet.jsp?pnu=3611035024102690001&amp;isNoScr=script&amp;mode=search", "토지이음")</f>
        <v/>
      </c>
      <c r="O2503" s="3" t="inlineStr">
        <is>
          <t>좋은터</t>
        </is>
      </c>
      <c r="P2503" s="4" t="n">
        <v>2</v>
      </c>
      <c r="Q2503" s="4" t="n">
        <v>76431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소로한면</t>
        </is>
      </c>
    </row>
    <row r="2504">
      <c r="A2504" s="3" t="inlineStr">
        <is>
          <t>장군면 봉안리 269-6</t>
        </is>
      </c>
      <c r="B2504" s="3" t="inlineStr">
        <is>
          <t>보전관리지역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250000</v>
      </c>
      <c r="G2504" s="4" t="n">
        <v>2090</v>
      </c>
      <c r="H2504" s="4" t="n">
        <v>632</v>
      </c>
      <c r="I2504" s="5" t="n">
        <v>395.6</v>
      </c>
      <c r="J2504" s="5" t="n">
        <v>289.5</v>
      </c>
      <c r="K2504" s="3" t="inlineStr">
        <is>
          <t>고운동 5분거리, 단층 건물 두동 임대중</t>
        </is>
      </c>
      <c r="L2504" s="6">
        <f>HYPERLINK("https://fin.land.naver.com/articles/2651159946", "매물Link")</f>
        <v/>
      </c>
      <c r="M2504" s="6">
        <f>HYPERLINK("https://map.naver.com/p/search/장군면 봉안리 269-6", "지도Link")</f>
        <v/>
      </c>
      <c r="N2504" s="6">
        <f>HYPERLINK("http://www.eum.go.kr/web/ar/lu/luLandDet.jsp?pnu=3611035024102690006&amp;isNoScr=script&amp;mode=search", "토지이음")</f>
        <v/>
      </c>
      <c r="O2504" s="3" t="inlineStr">
        <is>
          <t>미스터홈즈강남지사</t>
        </is>
      </c>
      <c r="P2504" s="4" t="n">
        <v>1</v>
      </c>
      <c r="Q2504" s="4" t="n">
        <v>2090</v>
      </c>
      <c r="R2504" s="3" t="inlineStr">
        <is>
          <t>지정되지않음</t>
        </is>
      </c>
      <c r="S2504" s="3" t="inlineStr">
        <is>
          <t>상업용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소로한면</t>
        </is>
      </c>
    </row>
    <row r="2505">
      <c r="A2505" s="3" t="inlineStr">
        <is>
          <t>장군면 봉안리 28-2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95000</v>
      </c>
      <c r="G2505" s="4" t="n">
        <v>658</v>
      </c>
      <c r="H2505" s="4" t="n">
        <v>199</v>
      </c>
      <c r="I2505" s="5" t="n">
        <v>477.4</v>
      </c>
      <c r="J2505" s="5" t="n">
        <v>172.6</v>
      </c>
      <c r="K2505" s="3" t="inlineStr">
        <is>
          <t>급매,도로접 계획관리지역 조망권뷰 최상, 알토란 토지 매매,투자용 추천</t>
        </is>
      </c>
      <c r="L2505" s="6">
        <f>HYPERLINK("https://fin.land.naver.com/articles/2653433301", "매물Link")</f>
        <v/>
      </c>
      <c r="M2505" s="6">
        <f>HYPERLINK("https://map.naver.com/p/search/장군면 봉안리 28-2", "지도Link")</f>
        <v/>
      </c>
      <c r="N2505" s="6">
        <f>HYPERLINK("http://www.eum.go.kr/web/ar/lu/luLandDet.jsp?pnu=3611035024100280002&amp;isNoScr=script&amp;mode=search", "토지이음")</f>
        <v/>
      </c>
      <c r="O2505" s="3" t="inlineStr">
        <is>
          <t>고운맘</t>
        </is>
      </c>
      <c r="P2505" s="4" t="n">
        <v>1</v>
      </c>
      <c r="Q2505" s="4" t="n">
        <v>658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봉안리 282-1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150000</v>
      </c>
      <c r="G2506" s="4" t="n">
        <v>1636</v>
      </c>
      <c r="H2506" s="4" t="n">
        <v>495</v>
      </c>
      <c r="I2506" s="5" t="n">
        <v>303</v>
      </c>
      <c r="J2506" s="5" t="n">
        <v>104.1</v>
      </c>
      <c r="K2506" s="3" t="inlineStr">
        <is>
          <t>전원주택 최적지농막포함</t>
        </is>
      </c>
      <c r="L2506" s="6">
        <f>HYPERLINK("https://fin.land.naver.com/articles/2651569617", "매물Link")</f>
        <v/>
      </c>
      <c r="M2506" s="6">
        <f>HYPERLINK("https://map.naver.com/p/search/장군면 봉안리 282-1", "지도Link")</f>
        <v/>
      </c>
      <c r="N2506" s="6">
        <f>HYPERLINK("http://www.eum.go.kr/web/ar/lu/luLandDet.jsp?pnu=3611035024102820001&amp;isNoScr=script&amp;mode=search", "토지이음")</f>
        <v/>
      </c>
      <c r="O2506" s="3" t="inlineStr">
        <is>
          <t>몰리브</t>
        </is>
      </c>
      <c r="P2506" s="4" t="n">
        <v>1</v>
      </c>
      <c r="Q2506" s="4" t="n">
        <v>1636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세로한면(불)</t>
        </is>
      </c>
    </row>
    <row r="2507">
      <c r="A2507" s="3" t="inlineStr">
        <is>
          <t>장군면 봉안리 287-2</t>
        </is>
      </c>
      <c r="B2507" s="3" t="inlineStr">
        <is>
          <t>계획관리지역</t>
        </is>
      </c>
      <c r="C2507" s="3" t="inlineStr">
        <is>
          <t>잡종지</t>
        </is>
      </c>
      <c r="D2507" s="3" t="inlineStr">
        <is>
          <t>잡종지</t>
        </is>
      </c>
      <c r="E2507" s="3" t="inlineStr">
        <is>
          <t>매매</t>
        </is>
      </c>
      <c r="F2507" s="4" t="n">
        <v>190000</v>
      </c>
      <c r="G2507" s="4" t="n">
        <v>4637</v>
      </c>
      <c r="H2507" s="4" t="n">
        <v>1403</v>
      </c>
      <c r="I2507" s="5" t="n">
        <v>135.4</v>
      </c>
      <c r="J2507" s="5" t="n">
        <v>174.2</v>
      </c>
      <c r="K2507" s="3" t="inlineStr">
        <is>
          <t>장군면 봉안리 계획관리 잡종지 매매</t>
        </is>
      </c>
      <c r="L2507" s="6">
        <f>HYPERLINK("https://fin.land.naver.com/articles/2653974780", "매물Link")</f>
        <v/>
      </c>
      <c r="M2507" s="6">
        <f>HYPERLINK("https://map.naver.com/p/search/장군면 봉안리 287-2", "지도Link")</f>
        <v/>
      </c>
      <c r="N2507" s="6">
        <f>HYPERLINK("http://www.eum.go.kr/web/ar/lu/luLandDet.jsp?pnu=3611035024102870002&amp;isNoScr=script&amp;mode=search", "토지이음")</f>
        <v/>
      </c>
      <c r="O2507" s="3" t="inlineStr">
        <is>
          <t>갤러리</t>
        </is>
      </c>
      <c r="P2507" s="4" t="n">
        <v>1</v>
      </c>
      <c r="Q2507" s="4" t="n">
        <v>3931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봉안리 287-2</t>
        </is>
      </c>
      <c r="B2508" s="3" t="inlineStr">
        <is>
          <t>계획관리지역</t>
        </is>
      </c>
      <c r="C2508" s="3" t="inlineStr">
        <is>
          <t>잡종지</t>
        </is>
      </c>
      <c r="D2508" s="3" t="inlineStr">
        <is>
          <t>잡종지</t>
        </is>
      </c>
      <c r="E2508" s="3" t="inlineStr">
        <is>
          <t>매매</t>
        </is>
      </c>
      <c r="F2508" s="4" t="n">
        <v>190000</v>
      </c>
      <c r="G2508" s="4" t="n">
        <v>4356</v>
      </c>
      <c r="H2508" s="4" t="n">
        <v>1318</v>
      </c>
      <c r="I2508" s="5" t="n">
        <v>144.2</v>
      </c>
      <c r="J2508" s="5" t="n">
        <v>174.2</v>
      </c>
      <c r="K2508" s="3" t="inlineStr">
        <is>
          <t>공시지가로 매매하는 장군면 봉안리 계획관리지역 잡종지 급매합니다</t>
        </is>
      </c>
      <c r="L2508" s="6">
        <f>HYPERLINK("https://fin.land.naver.com/articles/2655557008", "매물Link")</f>
        <v/>
      </c>
      <c r="M2508" s="6">
        <f>HYPERLINK("https://map.naver.com/p/search/장군면 봉안리 287-2", "지도Link")</f>
        <v/>
      </c>
      <c r="N2508" s="6">
        <f>HYPERLINK("http://www.eum.go.kr/web/ar/lu/luLandDet.jsp?pnu=3611035024102870002&amp;isNoScr=script&amp;mode=search", "토지이음")</f>
        <v/>
      </c>
      <c r="O2508" s="3" t="inlineStr">
        <is>
          <t>스마일세종</t>
        </is>
      </c>
      <c r="P2508" s="4" t="n">
        <v>1</v>
      </c>
      <c r="Q2508" s="4" t="n">
        <v>3931</v>
      </c>
      <c r="R2508" s="3" t="inlineStr">
        <is>
          <t>지정되지않음</t>
        </is>
      </c>
      <c r="S2508" s="3" t="inlineStr">
        <is>
          <t>전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봉안리 295-11</t>
        </is>
      </c>
      <c r="B2509" s="3" t="inlineStr">
        <is>
          <t>보전관리지역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65000</v>
      </c>
      <c r="G2509" s="4" t="n">
        <v>663</v>
      </c>
      <c r="H2509" s="4" t="n">
        <v>201</v>
      </c>
      <c r="I2509" s="5" t="n">
        <v>323.4</v>
      </c>
      <c r="J2509" s="5" t="n">
        <v>180.1</v>
      </c>
      <c r="K2509" s="3" t="inlineStr">
        <is>
          <t>세종시 경계지역 계획관리지역 급매 저렴한 땅</t>
        </is>
      </c>
      <c r="L2509" s="6">
        <f>HYPERLINK("https://fin.land.naver.com/articles/2653496935", "매물Link")</f>
        <v/>
      </c>
      <c r="M2509" s="6">
        <f>HYPERLINK("https://map.naver.com/p/search/장군면 봉안리 295-11", "지도Link")</f>
        <v/>
      </c>
      <c r="N2509" s="6">
        <f>HYPERLINK("http://www.eum.go.kr/web/ar/lu/luLandDet.jsp?pnu=3611035024102950011&amp;isNoScr=script&amp;mode=search", "토지이음")</f>
        <v/>
      </c>
      <c r="O2509" s="3" t="inlineStr">
        <is>
          <t>상상</t>
        </is>
      </c>
      <c r="P2509" s="4" t="n">
        <v>1</v>
      </c>
      <c r="Q2509" s="4" t="n">
        <v>537</v>
      </c>
      <c r="R2509" s="3" t="inlineStr">
        <is>
          <t>지정되지않음</t>
        </is>
      </c>
      <c r="S2509" s="3" t="inlineStr">
        <is>
          <t>주거나지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봉안리 306-2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150000</v>
      </c>
      <c r="G2510" s="4" t="n">
        <v>1133</v>
      </c>
      <c r="H2510" s="4" t="n">
        <v>343</v>
      </c>
      <c r="I2510" s="5" t="n">
        <v>437.3</v>
      </c>
      <c r="J2510" s="5" t="n">
        <v>96.3</v>
      </c>
      <c r="K2510" s="3" t="inlineStr">
        <is>
          <t>세종 건설지역 초인접 봉안리 상권 활성화된 토지</t>
        </is>
      </c>
      <c r="L2510" s="6">
        <f>HYPERLINK("https://fin.land.naver.com/articles/2652417766", "매물Link")</f>
        <v/>
      </c>
      <c r="M2510" s="6">
        <f>HYPERLINK("https://map.naver.com/p/search/장군면 봉안리 306-2", "지도Link")</f>
        <v/>
      </c>
      <c r="N2510" s="6">
        <f>HYPERLINK("http://www.eum.go.kr/web/ar/lu/luLandDet.jsp?pnu=3611035024103060002&amp;isNoScr=script&amp;mode=search", "토지이음")</f>
        <v/>
      </c>
      <c r="O2510" s="3" t="inlineStr">
        <is>
          <t>강나루</t>
        </is>
      </c>
      <c r="P2510" s="4" t="n">
        <v>1</v>
      </c>
      <c r="Q2510" s="4" t="n">
        <v>1133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봉안리 324-4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56700</v>
      </c>
      <c r="G2511" s="4" t="n">
        <v>535</v>
      </c>
      <c r="H2511" s="4" t="n">
        <v>162</v>
      </c>
      <c r="I2511" s="5" t="n">
        <v>350</v>
      </c>
      <c r="J2511" s="5" t="n">
        <v>190.1</v>
      </c>
      <c r="K2511" s="3" t="inlineStr">
        <is>
          <t>지대가 높아 전망이 좋고, 도로 접면도 70m 이상 나오는 계획관리지역</t>
        </is>
      </c>
      <c r="L2511" s="6">
        <f>HYPERLINK("https://fin.land.naver.com/articles/2652985142", "매물Link")</f>
        <v/>
      </c>
      <c r="M2511" s="6">
        <f>HYPERLINK("https://map.naver.com/p/search/장군면 봉안리 324-4", "지도Link")</f>
        <v/>
      </c>
      <c r="N2511" s="6">
        <f>HYPERLINK("http://www.eum.go.kr/web/ar/lu/luLandDet.jsp?pnu=3611035024103240004&amp;isNoScr=script&amp;mode=search", "토지이음")</f>
        <v/>
      </c>
      <c r="O2511" s="3" t="inlineStr">
        <is>
          <t>스마일세종</t>
        </is>
      </c>
      <c r="P2511" s="4" t="n">
        <v>1</v>
      </c>
      <c r="Q2511" s="4" t="n">
        <v>1609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봉안리 329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1281600</v>
      </c>
      <c r="G2512" s="4" t="n">
        <v>5295</v>
      </c>
      <c r="H2512" s="4" t="n">
        <v>1602</v>
      </c>
      <c r="I2512" s="5" t="n">
        <v>800</v>
      </c>
      <c r="J2512" s="5" t="n">
        <v>497.5</v>
      </c>
      <c r="K2512" s="3" t="inlineStr">
        <is>
          <t>nan</t>
        </is>
      </c>
      <c r="L2512" s="6">
        <f>HYPERLINK("https://fin.land.naver.com/articles/2655858564", "매물Link")</f>
        <v/>
      </c>
      <c r="M2512" s="6">
        <f>HYPERLINK("https://map.naver.com/p/search/장군면 봉안리 329", "지도Link")</f>
        <v/>
      </c>
      <c r="N2512" s="6">
        <f>HYPERLINK("http://www.eum.go.kr/web/ar/lu/luLandDet.jsp?pnu=3611035024103290000&amp;isNoScr=script&amp;mode=search", "토지이음")</f>
        <v/>
      </c>
      <c r="O2512" s="3" t="inlineStr">
        <is>
          <t>생명나무</t>
        </is>
      </c>
      <c r="P2512" s="4" t="n">
        <v>1</v>
      </c>
      <c r="Q2512" s="4" t="n">
        <v>865</v>
      </c>
      <c r="R2512" s="3" t="inlineStr">
        <is>
          <t>지정되지않음</t>
        </is>
      </c>
      <c r="S2512" s="3" t="inlineStr">
        <is>
          <t>상업용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봉안리 329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1281600</v>
      </c>
      <c r="G2513" s="4" t="n">
        <v>5295</v>
      </c>
      <c r="H2513" s="4" t="n">
        <v>1602</v>
      </c>
      <c r="I2513" s="5" t="n">
        <v>800</v>
      </c>
      <c r="J2513" s="5" t="n">
        <v>497.5</v>
      </c>
      <c r="K2513" s="3" t="inlineStr">
        <is>
          <t>대형상가 개발부지 I 주변 개발에 따른 향후 투자 기대</t>
        </is>
      </c>
      <c r="L2513" s="6">
        <f>HYPERLINK("https://fin.land.naver.com/articles/2655482475", "매물Link")</f>
        <v/>
      </c>
      <c r="M2513" s="6">
        <f>HYPERLINK("https://map.naver.com/p/search/장군면 봉안리 329", "지도Link")</f>
        <v/>
      </c>
      <c r="N2513" s="6">
        <f>HYPERLINK("http://www.eum.go.kr/web/ar/lu/luLandDet.jsp?pnu=3611035024103290000&amp;isNoScr=script&amp;mode=search", "토지이음")</f>
        <v/>
      </c>
      <c r="O2513" s="3" t="inlineStr">
        <is>
          <t>다복  사무소</t>
        </is>
      </c>
      <c r="P2513" s="4" t="n">
        <v>1</v>
      </c>
      <c r="Q2513" s="4" t="n">
        <v>865</v>
      </c>
      <c r="R2513" s="3" t="inlineStr">
        <is>
          <t>지정되지않음</t>
        </is>
      </c>
      <c r="S2513" s="3" t="inlineStr">
        <is>
          <t>상업용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봉안리 358-1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230000</v>
      </c>
      <c r="G2514" s="4" t="n">
        <v>3045</v>
      </c>
      <c r="H2514" s="4" t="n">
        <v>921</v>
      </c>
      <c r="I2514" s="5" t="n">
        <v>249.7</v>
      </c>
      <c r="J2514" s="5" t="n">
        <v>58.1</v>
      </c>
      <c r="K2514" s="3" t="inlineStr">
        <is>
          <t>장군면 봉안교차로 인근 현재  밭으로 사용중 창고추천</t>
        </is>
      </c>
      <c r="L2514" s="6">
        <f>HYPERLINK("https://fin.land.naver.com/articles/2654898583", "매물Link")</f>
        <v/>
      </c>
      <c r="M2514" s="6">
        <f>HYPERLINK("https://map.naver.com/p/search/장군면 봉안리 358-1", "지도Link")</f>
        <v/>
      </c>
      <c r="N2514" s="6">
        <f>HYPERLINK("http://www.eum.go.kr/web/ar/lu/luLandDet.jsp?pnu=3611035024103580001&amp;isNoScr=script&amp;mode=search", "토지이음")</f>
        <v/>
      </c>
      <c r="O2514" s="3" t="inlineStr">
        <is>
          <t>플러스자이합동</t>
        </is>
      </c>
      <c r="P2514" s="4" t="n">
        <v>1</v>
      </c>
      <c r="Q2514" s="4" t="n">
        <v>3045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봉안리 363-2</t>
        </is>
      </c>
      <c r="B2515" s="3" t="inlineStr">
        <is>
          <t>농림지역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194000</v>
      </c>
      <c r="G2515" s="4" t="n">
        <v>1604</v>
      </c>
      <c r="H2515" s="4" t="n">
        <v>485</v>
      </c>
      <c r="I2515" s="5" t="n">
        <v>400</v>
      </c>
      <c r="J2515" s="5" t="n">
        <v>58.7</v>
      </c>
      <c r="K2515" s="3" t="inlineStr">
        <is>
          <t>nan</t>
        </is>
      </c>
      <c r="L2515" s="6">
        <f>HYPERLINK("https://fin.land.naver.com/articles/2655925187", "매물Link")</f>
        <v/>
      </c>
      <c r="M2515" s="6">
        <f>HYPERLINK("https://map.naver.com/p/search/장군면 봉안리 363-2", "지도Link")</f>
        <v/>
      </c>
      <c r="N2515" s="6">
        <f>HYPERLINK("http://www.eum.go.kr/web/ar/lu/luLandDet.jsp?pnu=3611035024103630002&amp;isNoScr=script&amp;mode=search", "토지이음")</f>
        <v/>
      </c>
      <c r="O2515" s="3" t="inlineStr">
        <is>
          <t>생명나무</t>
        </is>
      </c>
      <c r="P2515" s="4" t="n">
        <v>3</v>
      </c>
      <c r="Q2515" s="4" t="n">
        <v>1604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봉안리 4-15</t>
        </is>
      </c>
      <c r="B2516" s="3" t="inlineStr">
        <is>
          <t>생산관리지역</t>
        </is>
      </c>
      <c r="C2516" s="3" t="inlineStr">
        <is>
          <t>임야</t>
        </is>
      </c>
      <c r="D2516" s="3" t="inlineStr">
        <is>
          <t>임야</t>
        </is>
      </c>
      <c r="E2516" s="3" t="inlineStr">
        <is>
          <t>매매</t>
        </is>
      </c>
      <c r="F2516" s="4" t="n">
        <v>53000</v>
      </c>
      <c r="G2516" s="4" t="n">
        <v>951</v>
      </c>
      <c r="H2516" s="4" t="n">
        <v>288</v>
      </c>
      <c r="I2516" s="5" t="n">
        <v>184</v>
      </c>
      <c r="J2516" s="5" t="n">
        <v>119.4</v>
      </c>
      <c r="K2516" s="3" t="inlineStr">
        <is>
          <t>세종 신도시 접근성과 뷰가 좋은 택지조성지 매매</t>
        </is>
      </c>
      <c r="L2516" s="6">
        <f>HYPERLINK("https://fin.land.naver.com/articles/2656159080", "매물Link")</f>
        <v/>
      </c>
      <c r="M2516" s="6">
        <f>HYPERLINK("https://map.naver.com/p/search/장군면 봉안리 4-15", "지도Link")</f>
        <v/>
      </c>
      <c r="N2516" s="6">
        <f>HYPERLINK("http://www.eum.go.kr/web/ar/lu/luLandDet.jsp?pnu=3611035024100040015&amp;isNoScr=script&amp;mode=search", "토지이음")</f>
        <v/>
      </c>
      <c r="O2516" s="3" t="inlineStr">
        <is>
          <t>세종비전행정사</t>
        </is>
      </c>
      <c r="P2516" s="4" t="n">
        <v>1</v>
      </c>
      <c r="Q2516" s="4" t="n">
        <v>951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봉안리 4-20</t>
        </is>
      </c>
      <c r="B2517" s="3" t="inlineStr">
        <is>
          <t>생산관리지역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14000</v>
      </c>
      <c r="G2517" s="4" t="n">
        <v>1021</v>
      </c>
      <c r="H2517" s="4" t="n">
        <v>309</v>
      </c>
      <c r="I2517" s="5" t="n">
        <v>45.3</v>
      </c>
      <c r="J2517" s="5" t="n">
        <v>121.9</v>
      </c>
      <c r="K2517" s="3" t="inlineStr">
        <is>
          <t>급매 이마트에서 영평사 가는길 전원주택부지,주말농장가능</t>
        </is>
      </c>
      <c r="L2517" s="6">
        <f>HYPERLINK("https://fin.land.naver.com/articles/2656144951", "매물Link")</f>
        <v/>
      </c>
      <c r="M2517" s="6">
        <f>HYPERLINK("https://map.naver.com/p/search/장군면 봉안리 4-20", "지도Link")</f>
        <v/>
      </c>
      <c r="N2517" s="6">
        <f>HYPERLINK("http://www.eum.go.kr/web/ar/lu/luLandDet.jsp?pnu=3611035024100040020&amp;isNoScr=script&amp;mode=search", "토지이음")</f>
        <v/>
      </c>
      <c r="O2517" s="3" t="inlineStr">
        <is>
          <t>은주</t>
        </is>
      </c>
      <c r="P2517" s="4" t="n">
        <v>2</v>
      </c>
      <c r="Q2517" s="4" t="n">
        <v>976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봉안리 4-20</t>
        </is>
      </c>
      <c r="B2518" s="3" t="inlineStr">
        <is>
          <t>생산관리지역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49000</v>
      </c>
      <c r="G2518" s="4" t="n">
        <v>1157</v>
      </c>
      <c r="H2518" s="4" t="n">
        <v>350</v>
      </c>
      <c r="I2518" s="5" t="n">
        <v>140</v>
      </c>
      <c r="J2518" s="5" t="n">
        <v>121.9</v>
      </c>
      <c r="K2518" s="3" t="inlineStr">
        <is>
          <t>nan</t>
        </is>
      </c>
      <c r="L2518" s="6">
        <f>HYPERLINK("https://fin.land.naver.com/articles/2653570365", "매물Link")</f>
        <v/>
      </c>
      <c r="M2518" s="6">
        <f>HYPERLINK("https://map.naver.com/p/search/장군면 봉안리 4-20", "지도Link")</f>
        <v/>
      </c>
      <c r="N2518" s="6">
        <f>HYPERLINK("http://www.eum.go.kr/web/ar/lu/luLandDet.jsp?pnu=3611035024100040020&amp;isNoScr=script&amp;mode=search", "토지이음")</f>
        <v/>
      </c>
      <c r="O2518" s="3" t="inlineStr">
        <is>
          <t>보람최고</t>
        </is>
      </c>
      <c r="P2518" s="4" t="n">
        <v>1</v>
      </c>
      <c r="Q2518" s="4" t="n">
        <v>976</v>
      </c>
      <c r="R2518" s="3" t="inlineStr">
        <is>
          <t>지정되지않음</t>
        </is>
      </c>
      <c r="S2518" s="3" t="inlineStr">
        <is>
          <t>주거나지</t>
        </is>
      </c>
      <c r="T2518" s="3" t="inlineStr">
        <is>
          <t>완경사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봉안리 4-20</t>
        </is>
      </c>
      <c r="B2519" s="3" t="inlineStr">
        <is>
          <t>생산관리지역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42000</v>
      </c>
      <c r="G2519" s="4" t="n">
        <v>1157</v>
      </c>
      <c r="H2519" s="4" t="n">
        <v>350</v>
      </c>
      <c r="I2519" s="5" t="n">
        <v>120</v>
      </c>
      <c r="J2519" s="5" t="n">
        <v>121.9</v>
      </c>
      <c r="K2519" s="3" t="inlineStr">
        <is>
          <t>급매 행복도시인접한전원주택지 분할매매가능 도로지분포함</t>
        </is>
      </c>
      <c r="L2519" s="6">
        <f>HYPERLINK("https://fin.land.naver.com/articles/2654842048", "매물Link")</f>
        <v/>
      </c>
      <c r="M2519" s="6">
        <f>HYPERLINK("https://map.naver.com/p/search/장군면 봉안리 4-20", "지도Link")</f>
        <v/>
      </c>
      <c r="N2519" s="6">
        <f>HYPERLINK("http://www.eum.go.kr/web/ar/lu/luLandDet.jsp?pnu=3611035024100040020&amp;isNoScr=script&amp;mode=search", "토지이음")</f>
        <v/>
      </c>
      <c r="O2519" s="3" t="inlineStr">
        <is>
          <t>레몬</t>
        </is>
      </c>
      <c r="P2519" s="4" t="n">
        <v>1</v>
      </c>
      <c r="Q2519" s="4" t="n">
        <v>976</v>
      </c>
      <c r="R2519" s="3" t="inlineStr">
        <is>
          <t>지정되지않음</t>
        </is>
      </c>
      <c r="S2519" s="3" t="inlineStr">
        <is>
          <t>주거나지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봉안리 4-21</t>
        </is>
      </c>
      <c r="B2520" s="3" t="inlineStr">
        <is>
          <t>생산관리지역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25000</v>
      </c>
      <c r="G2520" s="4" t="n">
        <v>912</v>
      </c>
      <c r="H2520" s="4" t="n">
        <v>276</v>
      </c>
      <c r="I2520" s="5" t="n">
        <v>90.59999999999999</v>
      </c>
      <c r="J2520" s="5" t="n">
        <v>121.9</v>
      </c>
      <c r="K2520" s="3" t="inlineStr">
        <is>
          <t>세종 도심 10분대, 하천 조망 갗춘 진입로 지분 포함 자연형 토지</t>
        </is>
      </c>
      <c r="L2520" s="6">
        <f>HYPERLINK("https://fin.land.naver.com/articles/2655034179", "매물Link")</f>
        <v/>
      </c>
      <c r="M2520" s="6">
        <f>HYPERLINK("https://map.naver.com/p/search/장군면 봉안리 4-21", "지도Link")</f>
        <v/>
      </c>
      <c r="N2520" s="6">
        <f>HYPERLINK("http://www.eum.go.kr/web/ar/lu/luLandDet.jsp?pnu=3611035024100040021&amp;isNoScr=script&amp;mode=search",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815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봉안리 4-21</t>
        </is>
      </c>
      <c r="B2521" s="3" t="inlineStr">
        <is>
          <t>생산관리지역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25000</v>
      </c>
      <c r="G2521" s="4" t="n">
        <v>815</v>
      </c>
      <c r="H2521" s="4" t="n">
        <v>247</v>
      </c>
      <c r="I2521" s="5" t="n">
        <v>101.2</v>
      </c>
      <c r="J2521" s="5" t="n">
        <v>121.9</v>
      </c>
      <c r="K2521" s="3" t="inlineStr">
        <is>
          <t>세종 이마트와 코스트코가 인근에 있는 전원주택 부지매매</t>
        </is>
      </c>
      <c r="L2521" s="6">
        <f>HYPERLINK("https://fin.land.naver.com/articles/2652418435", "매물Link")</f>
        <v/>
      </c>
      <c r="M2521" s="6">
        <f>HYPERLINK("https://map.naver.com/p/search/장군면 봉안리 4-21", "지도Link")</f>
        <v/>
      </c>
      <c r="N2521" s="6">
        <f>HYPERLINK("http://www.eum.go.kr/web/ar/lu/luLandDet.jsp?pnu=3611035024100040021&amp;isNoScr=script&amp;mode=search", "토지이음")</f>
        <v/>
      </c>
      <c r="O2521" s="3" t="inlineStr">
        <is>
          <t>비전</t>
        </is>
      </c>
      <c r="P2521" s="4" t="n">
        <v>1</v>
      </c>
      <c r="Q2521" s="4" t="n">
        <v>815</v>
      </c>
      <c r="R2521" s="3" t="inlineStr">
        <is>
          <t>지정되지않음</t>
        </is>
      </c>
      <c r="S2521" s="3" t="inlineStr">
        <is>
          <t>주거나지</t>
        </is>
      </c>
      <c r="T2521" s="3" t="inlineStr">
        <is>
          <t>완경사</t>
        </is>
      </c>
      <c r="U2521" s="3" t="inlineStr">
        <is>
          <t>사다리형</t>
        </is>
      </c>
      <c r="V2521" s="3" t="inlineStr">
        <is>
          <t>세로한면(가)</t>
        </is>
      </c>
    </row>
    <row r="2522">
      <c r="A2522" s="3" t="inlineStr">
        <is>
          <t>장군면 봉안리 4-38</t>
        </is>
      </c>
      <c r="B2522" s="3" t="inlineStr">
        <is>
          <t>생산관리지역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878</v>
      </c>
      <c r="H2522" s="4" t="n">
        <v>266</v>
      </c>
      <c r="I2522" s="5" t="n">
        <v>131.6</v>
      </c>
      <c r="J2522" s="5" t="n">
        <v>75.09999999999999</v>
      </c>
      <c r="K2522" s="3" t="inlineStr">
        <is>
          <t>세종 신도시 인접 대교천 뷰가 있는 전원주택지 매매</t>
        </is>
      </c>
      <c r="L2522" s="6">
        <f>HYPERLINK("https://fin.land.naver.com/articles/2656159028", "매물Link")</f>
        <v/>
      </c>
      <c r="M2522" s="6">
        <f>HYPERLINK("https://map.naver.com/p/search/장군면 봉안리 4-38", "지도Link")</f>
        <v/>
      </c>
      <c r="N2522" s="6">
        <f>HYPERLINK("http://www.eum.go.kr/web/ar/lu/luLandDet.jsp?pnu=3611035024100040038&amp;isNoScr=script&amp;mode=search", "토지이음")</f>
        <v/>
      </c>
      <c r="O2522" s="3" t="inlineStr">
        <is>
          <t>세종비전행정사</t>
        </is>
      </c>
      <c r="P2522" s="4" t="n">
        <v>1</v>
      </c>
      <c r="Q2522" s="4" t="n">
        <v>878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봉안리 445-1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112400</v>
      </c>
      <c r="G2523" s="4" t="n">
        <v>929</v>
      </c>
      <c r="H2523" s="4" t="n">
        <v>281</v>
      </c>
      <c r="I2523" s="5" t="n">
        <v>400</v>
      </c>
      <c r="J2523" s="5" t="n">
        <v>309</v>
      </c>
      <c r="K2523" s="3" t="inlineStr">
        <is>
          <t>세종시 장군면 도로접한 대지</t>
        </is>
      </c>
      <c r="L2523" s="6">
        <f>HYPERLINK("https://fin.land.naver.com/articles/2651784772", "매물Link")</f>
        <v/>
      </c>
      <c r="M2523" s="6">
        <f>HYPERLINK("https://map.naver.com/p/search/장군면 봉안리 445-1", "지도Link")</f>
        <v/>
      </c>
      <c r="N2523" s="6">
        <f>HYPERLINK("http://www.eum.go.kr/web/ar/lu/luLandDet.jsp?pnu=3611035024104450001&amp;isNoScr=script&amp;mode=search",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607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봉안리 447-15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91300</v>
      </c>
      <c r="G2524" s="4" t="n">
        <v>2012</v>
      </c>
      <c r="H2524" s="4" t="n">
        <v>609</v>
      </c>
      <c r="I2524" s="5" t="n">
        <v>149.9</v>
      </c>
      <c r="J2524" s="5" t="n">
        <v>41.1</v>
      </c>
      <c r="K2524" s="3" t="inlineStr">
        <is>
          <t>세종 장군면 봉안리 장기보유 추천 임야 매매</t>
        </is>
      </c>
      <c r="L2524" s="6">
        <f>HYPERLINK("https://fin.land.naver.com/articles/2652347318", "매물Link")</f>
        <v/>
      </c>
      <c r="M2524" s="6">
        <f>HYPERLINK("https://map.naver.com/p/search/장군면 봉안리 447-15", "지도Link")</f>
        <v/>
      </c>
      <c r="N2524" s="6">
        <f>HYPERLINK("http://www.eum.go.kr/web/ar/lu/luLandDet.jsp?pnu=3611035024104470015&amp;isNoScr=script&amp;mode=search", "토지이음")</f>
        <v/>
      </c>
      <c r="O2524" s="3" t="inlineStr">
        <is>
          <t>세종몽땅</t>
        </is>
      </c>
      <c r="P2524" s="4" t="n">
        <v>1</v>
      </c>
      <c r="Q2524" s="4" t="n">
        <v>2012</v>
      </c>
      <c r="R2524" s="3" t="inlineStr">
        <is>
          <t>지정되지않음</t>
        </is>
      </c>
      <c r="S2524" s="3" t="inlineStr">
        <is>
          <t>토지임야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봉안리 447-16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79000</v>
      </c>
      <c r="G2525" s="4" t="n">
        <v>1734</v>
      </c>
      <c r="H2525" s="4" t="n">
        <v>525</v>
      </c>
      <c r="I2525" s="5" t="n">
        <v>150.5</v>
      </c>
      <c r="J2525" s="5" t="n">
        <v>41.5</v>
      </c>
      <c r="K2525" s="3" t="inlineStr">
        <is>
          <t>세종 장군면 봉안리 장기보유 추천 임야</t>
        </is>
      </c>
      <c r="L2525" s="6">
        <f>HYPERLINK("https://fin.land.naver.com/articles/2652346274", "매물Link")</f>
        <v/>
      </c>
      <c r="M2525" s="6">
        <f>HYPERLINK("https://map.naver.com/p/search/장군면 봉안리 447-16", "지도Link")</f>
        <v/>
      </c>
      <c r="N2525" s="6">
        <f>HYPERLINK("http://www.eum.go.kr/web/ar/lu/luLandDet.jsp?pnu=3611035024104470016&amp;isNoScr=script&amp;mode=search", "토지이음")</f>
        <v/>
      </c>
      <c r="O2525" s="3" t="inlineStr">
        <is>
          <t>세종몽땅</t>
        </is>
      </c>
      <c r="P2525" s="4" t="n">
        <v>1</v>
      </c>
      <c r="Q2525" s="4" t="n">
        <v>1734</v>
      </c>
      <c r="R2525" s="3" t="inlineStr">
        <is>
          <t>지정되지않음</t>
        </is>
      </c>
      <c r="S2525" s="3" t="inlineStr">
        <is>
          <t>토지임야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봉안리 447-6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90000</v>
      </c>
      <c r="G2526" s="4" t="n">
        <v>1983</v>
      </c>
      <c r="H2526" s="4" t="n">
        <v>600</v>
      </c>
      <c r="I2526" s="5" t="n">
        <v>150</v>
      </c>
      <c r="J2526" s="5" t="n">
        <v>46.6</v>
      </c>
      <c r="K2526" s="3" t="inlineStr">
        <is>
          <t>세종시 장군면 토지 매매</t>
        </is>
      </c>
      <c r="L2526" s="6">
        <f>HYPERLINK("https://fin.land.naver.com/articles/2652351410", "매물Link")</f>
        <v/>
      </c>
      <c r="M2526" s="6">
        <f>HYPERLINK("https://map.naver.com/p/search/장군면 봉안리 447-6", "지도Link")</f>
        <v/>
      </c>
      <c r="N2526" s="6">
        <f>HYPERLINK("http://www.eum.go.kr/web/ar/lu/luLandDet.jsp?pnu=3611035024104470006&amp;isNoScr=script&amp;mode=search", "토지이음")</f>
        <v/>
      </c>
      <c r="O2526" s="3" t="inlineStr">
        <is>
          <t>세종몽땅</t>
        </is>
      </c>
      <c r="P2526" s="4" t="n">
        <v>1</v>
      </c>
      <c r="Q2526" s="4" t="n">
        <v>1983</v>
      </c>
      <c r="R2526" s="3" t="inlineStr">
        <is>
          <t>지정되지않음</t>
        </is>
      </c>
      <c r="S2526" s="3" t="inlineStr">
        <is>
          <t>토지임야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봉안리 451-26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36000</v>
      </c>
      <c r="G2527" s="4" t="n">
        <v>393</v>
      </c>
      <c r="H2527" s="4" t="n">
        <v>119</v>
      </c>
      <c r="I2527" s="5" t="n">
        <v>302.5</v>
      </c>
      <c r="J2527" s="5" t="n">
        <v>203.4</v>
      </c>
      <c r="K2527" s="3" t="inlineStr">
        <is>
          <t>봉안리 잘조성된 전원주택지</t>
        </is>
      </c>
      <c r="L2527" s="6">
        <f>HYPERLINK("https://fin.land.naver.com/articles/2654061366", "매물Link")</f>
        <v/>
      </c>
      <c r="M2527" s="6">
        <f>HYPERLINK("https://map.naver.com/p/search/장군면 봉안리 451-26", "지도Link")</f>
        <v/>
      </c>
      <c r="N2527" s="6">
        <f>HYPERLINK("http://www.eum.go.kr/web/ar/lu/luLandDet.jsp?pnu=3611035024104510026&amp;isNoScr=script&amp;mode=search", "토지이음")</f>
        <v/>
      </c>
      <c r="O2527" s="3" t="inlineStr">
        <is>
          <t>세종천지</t>
        </is>
      </c>
      <c r="P2527" s="4" t="n">
        <v>1</v>
      </c>
      <c r="Q2527" s="4" t="n">
        <v>393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완경사</t>
        </is>
      </c>
      <c r="U2527" s="3" t="inlineStr">
        <is>
          <t>사다리형</t>
        </is>
      </c>
      <c r="V2527" s="3" t="inlineStr">
        <is>
          <t>세로각지(가)</t>
        </is>
      </c>
    </row>
    <row r="2528">
      <c r="A2528" s="3" t="inlineStr">
        <is>
          <t>장군면 봉안리 46-8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400000</v>
      </c>
      <c r="G2528" s="4" t="n">
        <v>6893</v>
      </c>
      <c r="H2528" s="4" t="n">
        <v>2085</v>
      </c>
      <c r="I2528" s="5" t="n">
        <v>191.8</v>
      </c>
      <c r="J2528" s="5" t="n">
        <v>109.6</v>
      </c>
      <c r="K2528" s="3" t="inlineStr">
        <is>
          <t>세종 장군면 봉안리 임야 15필지 약 2,085p, 일괄.분할매매 협의</t>
        </is>
      </c>
      <c r="L2528" s="6">
        <f>HYPERLINK("https://fin.land.naver.com/articles/2652377190", "매물Link")</f>
        <v/>
      </c>
      <c r="M2528" s="6">
        <f>HYPERLINK("https://map.naver.com/p/search/장군면 봉안리 46-8", "지도Link")</f>
        <v/>
      </c>
      <c r="N2528" s="6">
        <f>HYPERLINK("http://www.eum.go.kr/web/ar/lu/luLandDet.jsp?pnu=3611035024100460008&amp;isNoScr=script&amp;mode=search", "토지이음")</f>
        <v/>
      </c>
      <c r="O2528" s="3" t="inlineStr">
        <is>
          <t>월드</t>
        </is>
      </c>
      <c r="P2528" s="4" t="n">
        <v>1</v>
      </c>
      <c r="Q2528" s="4" t="n">
        <v>667</v>
      </c>
      <c r="R2528" s="3" t="inlineStr">
        <is>
          <t>지정되지않음</t>
        </is>
      </c>
      <c r="S2528" s="3" t="inlineStr">
        <is>
          <t>전기타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봉안리 465-7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355500</v>
      </c>
      <c r="G2529" s="4" t="n">
        <v>2352</v>
      </c>
      <c r="H2529" s="4" t="n">
        <v>711</v>
      </c>
      <c r="I2529" s="5" t="n">
        <v>500</v>
      </c>
      <c r="J2529" s="5" t="n">
        <v>110.1</v>
      </c>
      <c r="K2529" s="3" t="inlineStr">
        <is>
          <t>봉안리 2차선 도로에 접한땅</t>
        </is>
      </c>
      <c r="L2529" s="6">
        <f>HYPERLINK("https://fin.land.naver.com/articles/2652185776", "매물Link")</f>
        <v/>
      </c>
      <c r="M2529" s="6">
        <f>HYPERLINK("https://map.naver.com/p/search/장군면 봉안리 465-7", "지도Link")</f>
        <v/>
      </c>
      <c r="N2529" s="6">
        <f>HYPERLINK("http://www.eum.go.kr/web/ar/lu/luLandDet.jsp?pnu=3611035024104650007&amp;isNoScr=script&amp;mode=search",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2352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사다리형</t>
        </is>
      </c>
      <c r="V2529" s="3" t="inlineStr">
        <is>
          <t>소로각지</t>
        </is>
      </c>
    </row>
    <row r="2530">
      <c r="A2530" s="3" t="inlineStr">
        <is>
          <t>장군면 봉안리 48-1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78750</v>
      </c>
      <c r="G2530" s="4" t="n">
        <v>744</v>
      </c>
      <c r="H2530" s="4" t="n">
        <v>225</v>
      </c>
      <c r="I2530" s="5" t="n">
        <v>350</v>
      </c>
      <c r="J2530" s="5" t="n">
        <v>140.4</v>
      </c>
      <c r="K2530" s="3" t="inlineStr">
        <is>
          <t>세종정부청사 5분거리 계획관리지역 전</t>
        </is>
      </c>
      <c r="L2530" s="6">
        <f>HYPERLINK("https://fin.land.naver.com/articles/2654064068", "매물Link")</f>
        <v/>
      </c>
      <c r="M2530" s="6">
        <f>HYPERLINK("https://map.naver.com/p/search/장군면 봉안리 48-1", "지도Link")</f>
        <v/>
      </c>
      <c r="N2530" s="6">
        <f>HYPERLINK("http://www.eum.go.kr/web/ar/lu/luLandDet.jsp?pnu=3611035024100480001&amp;isNoScr=script&amp;mode=search",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744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봉안리 57-4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2098000</v>
      </c>
      <c r="G2531" s="4" t="n">
        <v>17348</v>
      </c>
      <c r="H2531" s="4" t="n">
        <v>5248</v>
      </c>
      <c r="I2531" s="5" t="n">
        <v>399.8</v>
      </c>
      <c r="J2531" s="5" t="n">
        <v>85.5</v>
      </c>
      <c r="K2531" s="3" t="inlineStr">
        <is>
          <t>nan</t>
        </is>
      </c>
      <c r="L2531" s="6">
        <f>HYPERLINK("https://fin.land.naver.com/articles/2655414672", "매물Link")</f>
        <v/>
      </c>
      <c r="M2531" s="6">
        <f>HYPERLINK("https://map.naver.com/p/search/장군면 봉안리 57-4", "지도Link")</f>
        <v/>
      </c>
      <c r="N2531" s="6">
        <f>HYPERLINK("http://www.eum.go.kr/web/ar/lu/luLandDet.jsp?pnu=3611035024100570004&amp;isNoScr=script&amp;mode=search", "토지이음")</f>
        <v/>
      </c>
      <c r="O2531" s="3" t="inlineStr">
        <is>
          <t>위례오늘</t>
        </is>
      </c>
      <c r="P2531" s="4" t="n">
        <v>1</v>
      </c>
      <c r="Q2531" s="4" t="n">
        <v>17348</v>
      </c>
      <c r="R2531" s="3" t="inlineStr">
        <is>
          <t>보전관리지역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봉안리 575-3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72000</v>
      </c>
      <c r="G2532" s="4" t="n">
        <v>582</v>
      </c>
      <c r="H2532" s="4" t="n">
        <v>176</v>
      </c>
      <c r="I2532" s="5" t="n">
        <v>409.1</v>
      </c>
      <c r="J2532" s="5" t="n">
        <v>128.8</v>
      </c>
      <c r="K2532" s="3" t="inlineStr">
        <is>
          <t>세종시원안옆 상가주택적지</t>
        </is>
      </c>
      <c r="L2532" s="6">
        <f>HYPERLINK("https://fin.land.naver.com/articles/2656213221", "매물Link")</f>
        <v/>
      </c>
      <c r="M2532" s="6">
        <f>HYPERLINK("https://map.naver.com/p/search/장군면 봉안리 575-3", "지도Link")</f>
        <v/>
      </c>
      <c r="N2532" s="6">
        <f>HYPERLINK("http://www.eum.go.kr/web/ar/lu/luLandDet.jsp?pnu=3611035024105750003&amp;isNoScr=script&amp;mode=search", "토지이음")</f>
        <v/>
      </c>
      <c r="O2532" s="3" t="inlineStr">
        <is>
          <t>세종천지</t>
        </is>
      </c>
      <c r="P2532" s="4" t="n">
        <v>2</v>
      </c>
      <c r="Q2532" s="4" t="n">
        <v>582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완경사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봉안리 575-9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85000</v>
      </c>
      <c r="G2533" s="4" t="n">
        <v>732</v>
      </c>
      <c r="H2533" s="4" t="n">
        <v>221</v>
      </c>
      <c r="I2533" s="5" t="n">
        <v>384.6</v>
      </c>
      <c r="J2533" s="5" t="n">
        <v>128.8</v>
      </c>
      <c r="K2533" s="3" t="inlineStr">
        <is>
          <t>도로접 투자용 전원주택부지 생활형체험농장 부지 지목 임야</t>
        </is>
      </c>
      <c r="L2533" s="6">
        <f>HYPERLINK("https://fin.land.naver.com/articles/2652729633", "매물Link")</f>
        <v/>
      </c>
      <c r="M2533" s="6">
        <f>HYPERLINK("https://map.naver.com/p/search/장군면 봉안리 575-9", "지도Link")</f>
        <v/>
      </c>
      <c r="N2533" s="6">
        <f>HYPERLINK("http://www.eum.go.kr/web/ar/lu/luLandDet.jsp?pnu=3611035024105750009&amp;isNoScr=script&amp;mode=search", "토지이음")</f>
        <v/>
      </c>
      <c r="O2533" s="3" t="inlineStr">
        <is>
          <t>세종이룸</t>
        </is>
      </c>
      <c r="P2533" s="4" t="n">
        <v>1</v>
      </c>
      <c r="Q2533" s="4" t="n">
        <v>636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완경사</t>
        </is>
      </c>
      <c r="U2533" s="3" t="inlineStr">
        <is>
          <t>사다리형</t>
        </is>
      </c>
      <c r="V2533" s="3" t="inlineStr">
        <is>
          <t>세로한면(가)</t>
        </is>
      </c>
    </row>
    <row r="2534">
      <c r="A2534" s="3" t="inlineStr">
        <is>
          <t>장군면 봉안리 575-9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85000</v>
      </c>
      <c r="G2534" s="4" t="n">
        <v>732</v>
      </c>
      <c r="H2534" s="4" t="n">
        <v>221</v>
      </c>
      <c r="I2534" s="5" t="n">
        <v>384.6</v>
      </c>
      <c r="J2534" s="5" t="n">
        <v>128.8</v>
      </c>
      <c r="K2534" s="3" t="inlineStr">
        <is>
          <t>세종시내를 바라볼수 있는 높은지대의 조망이 좋은 계획관리지역 투자용 토지</t>
        </is>
      </c>
      <c r="L2534" s="6">
        <f>HYPERLINK("https://fin.land.naver.com/articles/2655801114", "매물Link")</f>
        <v/>
      </c>
      <c r="M2534" s="6">
        <f>HYPERLINK("https://map.naver.com/p/search/장군면 봉안리 575-9", "지도Link")</f>
        <v/>
      </c>
      <c r="N2534" s="6">
        <f>HYPERLINK("http://www.eum.go.kr/web/ar/lu/luLandDet.jsp?pnu=3611035024105750009&amp;isNoScr=script&amp;mode=search", "토지이음")</f>
        <v/>
      </c>
      <c r="O2534" s="3" t="inlineStr">
        <is>
          <t>스마일세종</t>
        </is>
      </c>
      <c r="P2534" s="4" t="n">
        <v>3</v>
      </c>
      <c r="Q2534" s="4" t="n">
        <v>636</v>
      </c>
      <c r="R2534" s="3" t="inlineStr">
        <is>
          <t>지정되지않음</t>
        </is>
      </c>
      <c r="S2534" s="3" t="inlineStr">
        <is>
          <t>전기타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봉안리 575-9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85000</v>
      </c>
      <c r="G2535" s="4" t="n">
        <v>732</v>
      </c>
      <c r="H2535" s="4" t="n">
        <v>221</v>
      </c>
      <c r="I2535" s="5" t="n">
        <v>384.6</v>
      </c>
      <c r="J2535" s="5" t="n">
        <v>128.8</v>
      </c>
      <c r="K2535" s="3" t="inlineStr">
        <is>
          <t>계획관리,단독주택,사무실,카페,식당,물류택배창고 등 다목적용도 가능</t>
        </is>
      </c>
      <c r="L2535" s="6">
        <f>HYPERLINK("https://fin.land.naver.com/articles/2653435156", "매물Link")</f>
        <v/>
      </c>
      <c r="M2535" s="6">
        <f>HYPERLINK("https://map.naver.com/p/search/장군면 봉안리 575-9", "지도Link")</f>
        <v/>
      </c>
      <c r="N2535" s="6">
        <f>HYPERLINK("http://www.eum.go.kr/web/ar/lu/luLandDet.jsp?pnu=3611035024105750009&amp;isNoScr=script&amp;mode=search", "토지이음")</f>
        <v/>
      </c>
      <c r="O2535" s="3" t="inlineStr">
        <is>
          <t>고운맘</t>
        </is>
      </c>
      <c r="P2535" s="4" t="n">
        <v>1</v>
      </c>
      <c r="Q2535" s="4" t="n">
        <v>636</v>
      </c>
      <c r="R2535" s="3" t="inlineStr">
        <is>
          <t>지정되지않음</t>
        </is>
      </c>
      <c r="S2535" s="3" t="inlineStr">
        <is>
          <t>전기타</t>
        </is>
      </c>
      <c r="T2535" s="3" t="inlineStr">
        <is>
          <t>완경사</t>
        </is>
      </c>
      <c r="U2535" s="3" t="inlineStr">
        <is>
          <t>사다리형</t>
        </is>
      </c>
      <c r="V2535" s="3" t="inlineStr">
        <is>
          <t>세로한면(가)</t>
        </is>
      </c>
    </row>
    <row r="2536">
      <c r="A2536" s="3" t="inlineStr">
        <is>
          <t>장군면 봉안리 65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200000</v>
      </c>
      <c r="G2536" s="4" t="n">
        <v>1742</v>
      </c>
      <c r="H2536" s="4" t="n">
        <v>527</v>
      </c>
      <c r="I2536" s="5" t="n">
        <v>379.5</v>
      </c>
      <c r="J2536" s="5" t="n">
        <v>140.4</v>
      </c>
      <c r="K2536" s="3" t="inlineStr">
        <is>
          <t>봉안리 도로접한 토지매매</t>
        </is>
      </c>
      <c r="L2536" s="6">
        <f>HYPERLINK("https://fin.land.naver.com/articles/2650911299", "매물Link")</f>
        <v/>
      </c>
      <c r="M2536" s="6">
        <f>HYPERLINK("https://map.naver.com/p/search/장군면 봉안리 65", "지도Link")</f>
        <v/>
      </c>
      <c r="N2536" s="6">
        <f>HYPERLINK("http://www.eum.go.kr/web/ar/lu/luLandDet.jsp?pnu=3611035024100650000&amp;isNoScr=script&amp;mode=search", "토지이음")</f>
        <v/>
      </c>
      <c r="O2536" s="3" t="inlineStr">
        <is>
          <t>연합</t>
        </is>
      </c>
      <c r="P2536" s="4" t="n">
        <v>1</v>
      </c>
      <c r="Q2536" s="4" t="n">
        <v>790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봉안리 66-9</t>
        </is>
      </c>
      <c r="B2537" s="3" t="inlineStr">
        <is>
          <t>보전관리지역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35000</v>
      </c>
      <c r="G2537" s="4" t="n">
        <v>577</v>
      </c>
      <c r="H2537" s="4" t="n">
        <v>175</v>
      </c>
      <c r="I2537" s="5" t="n">
        <v>200</v>
      </c>
      <c r="J2537" s="5" t="n">
        <v>152.1</v>
      </c>
      <c r="K2537" s="3" t="inlineStr">
        <is>
          <t>행정복합도시에 인접한 부근에 위치한 전원주택지임</t>
        </is>
      </c>
      <c r="L2537" s="6">
        <f>HYPERLINK("https://fin.land.naver.com/articles/2652112134", "매물Link")</f>
        <v/>
      </c>
      <c r="M2537" s="6">
        <f>HYPERLINK("https://map.naver.com/p/search/장군면 봉안리 66-9", "지도Link")</f>
        <v/>
      </c>
      <c r="N2537" s="6">
        <f>HYPERLINK("http://www.eum.go.kr/web/ar/lu/luLandDet.jsp?pnu=3611035024100660009&amp;isNoScr=script&amp;mode=search", "토지이음")</f>
        <v/>
      </c>
      <c r="O2537" s="3" t="inlineStr">
        <is>
          <t>교차로</t>
        </is>
      </c>
      <c r="P2537" s="4" t="n">
        <v>1</v>
      </c>
      <c r="Q2537" s="4" t="n">
        <v>516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봉안리 84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369000</v>
      </c>
      <c r="G2538" s="4" t="n">
        <v>4060</v>
      </c>
      <c r="H2538" s="4" t="n">
        <v>1228</v>
      </c>
      <c r="I2538" s="5" t="n">
        <v>300.5</v>
      </c>
      <c r="J2538" s="5" t="n">
        <v>170.9</v>
      </c>
      <c r="K2538" s="3" t="inlineStr">
        <is>
          <t>장군면 전,답으로 구성된 계획관리토지,도로접함,</t>
        </is>
      </c>
      <c r="L2538" s="6">
        <f>HYPERLINK("https://fin.land.naver.com/articles/2651054045", "매물Link")</f>
        <v/>
      </c>
      <c r="M2538" s="6">
        <f>HYPERLINK("https://map.naver.com/p/search/장군면 봉안리 84", "지도Link")</f>
        <v/>
      </c>
      <c r="N2538" s="6">
        <f>HYPERLINK("http://www.eum.go.kr/web/ar/lu/luLandDet.jsp?pnu=3611035024100840000&amp;isNoScr=script&amp;mode=search", "토지이음")</f>
        <v/>
      </c>
      <c r="O2538" s="3" t="inlineStr">
        <is>
          <t>담뜰</t>
        </is>
      </c>
      <c r="P2538" s="4" t="n">
        <v>1</v>
      </c>
      <c r="Q2538" s="4" t="n">
        <v>2840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사다리형</t>
        </is>
      </c>
      <c r="V2538" s="3" t="inlineStr">
        <is>
          <t>세로각지(가)</t>
        </is>
      </c>
    </row>
    <row r="2539">
      <c r="A2539" s="3" t="inlineStr">
        <is>
          <t>장군면 봉안리 98-1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2500000</v>
      </c>
      <c r="G2539" s="4" t="n">
        <v>16522</v>
      </c>
      <c r="H2539" s="4" t="n">
        <v>4998</v>
      </c>
      <c r="I2539" s="5" t="n">
        <v>500.2</v>
      </c>
      <c r="J2539" s="5" t="n">
        <v>62</v>
      </c>
      <c r="K2539" s="3" t="inlineStr">
        <is>
          <t>계획관리지역, 임야 250억 매매, 대출 가능</t>
        </is>
      </c>
      <c r="L2539" s="6">
        <f>HYPERLINK("https://fin.land.naver.com/articles/2655598347", "매물Link")</f>
        <v/>
      </c>
      <c r="M2539" s="6">
        <f>HYPERLINK("https://map.naver.com/p/search/장군면 봉안리 98-1", "지도Link")</f>
        <v/>
      </c>
      <c r="N2539" s="6">
        <f>HYPERLINK("http://www.eum.go.kr/web/ar/lu/luLandDet.jsp?pnu=3611035024100980001&amp;isNoScr=script&amp;mode=search", "토지이음")</f>
        <v/>
      </c>
      <c r="O2539" s="3" t="inlineStr">
        <is>
          <t>케이에스</t>
        </is>
      </c>
      <c r="P2539" s="4" t="n">
        <v>1</v>
      </c>
      <c r="Q2539" s="4" t="n">
        <v>8315</v>
      </c>
      <c r="R2539" s="3" t="inlineStr">
        <is>
          <t>지정되지않음</t>
        </is>
      </c>
      <c r="S2539" s="3" t="inlineStr">
        <is>
          <t>토지임야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세로한면(불)</t>
        </is>
      </c>
    </row>
    <row r="2540">
      <c r="A2540" s="3" t="inlineStr">
        <is>
          <t>장군면 봉안리 98-1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1250000</v>
      </c>
      <c r="G2540" s="4" t="n">
        <v>16522</v>
      </c>
      <c r="H2540" s="4" t="n">
        <v>4998</v>
      </c>
      <c r="I2540" s="5" t="n">
        <v>250.1</v>
      </c>
      <c r="J2540" s="5" t="n">
        <v>62</v>
      </c>
      <c r="K2540" s="3" t="inlineStr">
        <is>
          <t>지대높고 접근성좋고 도로사정좋은 올계획관리 토지매매합니다</t>
        </is>
      </c>
      <c r="L2540" s="6">
        <f>HYPERLINK("https://fin.land.naver.com/articles/2656252473", "매물Link")</f>
        <v/>
      </c>
      <c r="M2540" s="6">
        <f>HYPERLINK("https://map.naver.com/p/search/장군면 봉안리 98-1", "지도Link")</f>
        <v/>
      </c>
      <c r="N2540" s="6">
        <f>HYPERLINK("http://www.eum.go.kr/web/ar/lu/luLandDet.jsp?pnu=3611035024100980001&amp;isNoScr=script&amp;mode=search", "토지이음")</f>
        <v/>
      </c>
      <c r="O2540" s="3" t="inlineStr">
        <is>
          <t>복댕이</t>
        </is>
      </c>
      <c r="P2540" s="4" t="n">
        <v>1</v>
      </c>
      <c r="Q2540" s="4" t="n">
        <v>8315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봉안리 산20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90000</v>
      </c>
      <c r="G2541" s="4" t="n">
        <v>1004</v>
      </c>
      <c r="H2541" s="4" t="n">
        <v>304</v>
      </c>
      <c r="I2541" s="5" t="n">
        <v>296.1</v>
      </c>
      <c r="J2541" s="5" t="n">
        <v>76.59999999999999</v>
      </c>
      <c r="K2541" s="3" t="inlineStr">
        <is>
          <t>세종시내가 한눈에 보이는 봉안리 마을포장도로에 접한 계획관리지역의 야산</t>
        </is>
      </c>
      <c r="L2541" s="6">
        <f>HYPERLINK("https://fin.land.naver.com/articles/2652185193", "매물Link")</f>
        <v/>
      </c>
      <c r="M2541" s="6">
        <f>HYPERLINK("https://map.naver.com/p/search/장군면 봉안리 산20", "지도Link")</f>
        <v/>
      </c>
      <c r="N2541" s="6">
        <f>HYPERLINK("http://www.eum.go.kr/web/ar/lu/luLandDet.jsp?pnu=3611035024200200000&amp;isNoScr=script&amp;mode=search", "토지이음")</f>
        <v/>
      </c>
      <c r="O2541" s="3" t="inlineStr">
        <is>
          <t>스마일세종</t>
        </is>
      </c>
      <c r="P2541" s="4" t="n">
        <v>1</v>
      </c>
      <c r="Q2541" s="4" t="n">
        <v>829</v>
      </c>
      <c r="R2541" s="3" t="inlineStr">
        <is>
          <t>지정되지않음</t>
        </is>
      </c>
      <c r="S2541" s="3" t="inlineStr">
        <is>
          <t>자연림</t>
        </is>
      </c>
      <c r="T2541" s="3" t="inlineStr">
        <is>
          <t>완경사</t>
        </is>
      </c>
      <c r="U2541" s="3" t="inlineStr">
        <is>
          <t>사다리형</t>
        </is>
      </c>
      <c r="V2541" s="3" t="inlineStr">
        <is>
          <t>맹지</t>
        </is>
      </c>
    </row>
    <row r="2542">
      <c r="A2542" s="3" t="inlineStr">
        <is>
          <t>장군면 산학리 105-1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33000</v>
      </c>
      <c r="G2542" s="4" t="n">
        <v>578</v>
      </c>
      <c r="H2542" s="4" t="n">
        <v>175</v>
      </c>
      <c r="I2542" s="5" t="n">
        <v>188.6</v>
      </c>
      <c r="J2542" s="5" t="n">
        <v>40.8</v>
      </c>
      <c r="K2542" s="3" t="inlineStr">
        <is>
          <t>모양좋은 계획관리 토지,6m도로접, 행복도시 반경 15분이내거리</t>
        </is>
      </c>
      <c r="L2542" s="6">
        <f>HYPERLINK("https://fin.land.naver.com/articles/2653506205", "매물Link")</f>
        <v/>
      </c>
      <c r="M2542" s="6">
        <f>HYPERLINK("https://map.naver.com/p/search/장군면 산학리 105-1", "지도Link")</f>
        <v/>
      </c>
      <c r="N2542" s="6">
        <f>HYPERLINK("http://www.eum.go.kr/web/ar/lu/luLandDet.jsp?pnu=3611035028101050001&amp;isNoScr=script&amp;mode=search", "토지이음")</f>
        <v/>
      </c>
      <c r="O2542" s="3" t="inlineStr">
        <is>
          <t>세종복댕이</t>
        </is>
      </c>
      <c r="P2542" s="4" t="n">
        <v>1</v>
      </c>
      <c r="Q2542" s="4" t="n">
        <v>507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완경사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산학리 105-4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39000</v>
      </c>
      <c r="G2543" s="4" t="n">
        <v>495</v>
      </c>
      <c r="H2543" s="4" t="n">
        <v>150</v>
      </c>
      <c r="I2543" s="5" t="n">
        <v>260</v>
      </c>
      <c r="J2543" s="5" t="n">
        <v>65.59999999999999</v>
      </c>
      <c r="K2543" s="3" t="inlineStr">
        <is>
          <t>급매,근생단독건물,월세나오는 건물</t>
        </is>
      </c>
      <c r="L2543" s="6">
        <f>HYPERLINK("https://fin.land.naver.com/articles/2650912295", "매물Link")</f>
        <v/>
      </c>
      <c r="M2543" s="6">
        <f>HYPERLINK("https://map.naver.com/p/search/장군면 산학리 105-4", "지도Link")</f>
        <v/>
      </c>
      <c r="N2543" s="6">
        <f>HYPERLINK("http://www.eum.go.kr/web/ar/lu/luLandDet.jsp?pnu=3611035028101050004&amp;isNoScr=script&amp;mode=search", "토지이음")</f>
        <v/>
      </c>
      <c r="O2543" s="3" t="inlineStr">
        <is>
          <t>세종복댕이</t>
        </is>
      </c>
      <c r="P2543" s="4" t="n">
        <v>1</v>
      </c>
      <c r="Q2543" s="4" t="n">
        <v>412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산학리 115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45000</v>
      </c>
      <c r="G2544" s="4" t="n">
        <v>902</v>
      </c>
      <c r="H2544" s="4" t="n">
        <v>273</v>
      </c>
      <c r="I2544" s="5" t="n">
        <v>164.8</v>
      </c>
      <c r="J2544" s="5" t="n">
        <v>64.90000000000001</v>
      </c>
      <c r="K2544" s="3" t="inlineStr">
        <is>
          <t>장군면 산학리 대지272.8p 계획관리,자연취락, 주택,근생 추천</t>
        </is>
      </c>
      <c r="L2544" s="6">
        <f>HYPERLINK("https://fin.land.naver.com/articles/2655580935", "매물Link")</f>
        <v/>
      </c>
      <c r="M2544" s="6">
        <f>HYPERLINK("https://map.naver.com/p/search/장군면 산학리 115", "지도Link")</f>
        <v/>
      </c>
      <c r="N2544" s="6">
        <f>HYPERLINK("http://www.eum.go.kr/web/ar/lu/luLandDet.jsp?pnu=3611035028101150000&amp;isNoScr=script&amp;mode=search", "토지이음")</f>
        <v/>
      </c>
      <c r="O2544" s="3" t="inlineStr">
        <is>
          <t>큰손매교역</t>
        </is>
      </c>
      <c r="P2544" s="4" t="n">
        <v>1</v>
      </c>
      <c r="Q2544" s="4" t="n">
        <v>902</v>
      </c>
      <c r="R2544" s="3" t="inlineStr">
        <is>
          <t>지정되지않음</t>
        </is>
      </c>
      <c r="S2544" s="3" t="inlineStr">
        <is>
          <t>단독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세로한면(불)</t>
        </is>
      </c>
    </row>
    <row r="2545">
      <c r="A2545" s="3" t="inlineStr">
        <is>
          <t>장군면 산학리 118</t>
        </is>
      </c>
      <c r="B2545" s="3" t="inlineStr">
        <is>
          <t>계획관리지역</t>
        </is>
      </c>
      <c r="C2545" s="3" t="inlineStr">
        <is>
          <t>목장용지</t>
        </is>
      </c>
      <c r="D2545" s="3" t="inlineStr">
        <is>
          <t>목장용지</t>
        </is>
      </c>
      <c r="E2545" s="3" t="inlineStr">
        <is>
          <t>매매</t>
        </is>
      </c>
      <c r="F2545" s="4" t="n">
        <v>19800</v>
      </c>
      <c r="G2545" s="4" t="n">
        <v>225</v>
      </c>
      <c r="H2545" s="4" t="n">
        <v>68</v>
      </c>
      <c r="I2545" s="5" t="n">
        <v>291.2</v>
      </c>
      <c r="J2545" s="5" t="n">
        <v>44</v>
      </c>
      <c r="K2545" s="3" t="inlineStr">
        <is>
          <t>도로접해 있고 지대가 높아 단독 주택지로 추천</t>
        </is>
      </c>
      <c r="L2545" s="6">
        <f>HYPERLINK("https://fin.land.naver.com/articles/2653426073", "매물Link")</f>
        <v/>
      </c>
      <c r="M2545" s="6">
        <f>HYPERLINK("https://map.naver.com/p/search/장군면 산학리 118", "지도Link")</f>
        <v/>
      </c>
      <c r="N2545" s="6">
        <f>HYPERLINK("http://www.eum.go.kr/web/ar/lu/luLandDet.jsp?pnu=3611035028101180000&amp;isNoScr=script&amp;mode=search", "토지이음")</f>
        <v/>
      </c>
      <c r="O2545" s="3" t="inlineStr">
        <is>
          <t>담뜰</t>
        </is>
      </c>
      <c r="P2545" s="4" t="n">
        <v>1</v>
      </c>
      <c r="Q2545" s="4" t="n">
        <v>225</v>
      </c>
      <c r="R2545" s="3" t="inlineStr">
        <is>
          <t>지정되지않음</t>
        </is>
      </c>
      <c r="S2545" s="3" t="inlineStr">
        <is>
          <t>답축사</t>
        </is>
      </c>
      <c r="T2545" s="3" t="inlineStr">
        <is>
          <t>완경사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산학리 139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290000</v>
      </c>
      <c r="G2546" s="4" t="n">
        <v>892</v>
      </c>
      <c r="H2546" s="4" t="n">
        <v>270</v>
      </c>
      <c r="I2546" s="5" t="n">
        <v>1074.1</v>
      </c>
      <c r="J2546" s="5" t="n">
        <v>249.7</v>
      </c>
      <c r="K2546" s="3" t="inlineStr">
        <is>
          <t>도로접 주차공간 갖춘 2층 근생 일괄매매</t>
        </is>
      </c>
      <c r="L2546" s="6">
        <f>HYPERLINK("https://fin.land.naver.com/articles/2655072231", "매물Link")</f>
        <v/>
      </c>
      <c r="M2546" s="6">
        <f>HYPERLINK("https://map.naver.com/p/search/장군면 산학리 139", "지도Link")</f>
        <v/>
      </c>
      <c r="N2546" s="6">
        <f>HYPERLINK("http://www.eum.go.kr/web/ar/lu/luLandDet.jsp?pnu=3611035028101390000&amp;isNoScr=script&amp;mode=search", "토지이음")</f>
        <v/>
      </c>
      <c r="O2546" s="3" t="inlineStr">
        <is>
          <t>세종소담황금</t>
        </is>
      </c>
      <c r="P2546" s="4" t="n">
        <v>1</v>
      </c>
      <c r="Q2546" s="4" t="n">
        <v>896</v>
      </c>
      <c r="R2546" s="3" t="inlineStr">
        <is>
          <t>지정되지않음</t>
        </is>
      </c>
      <c r="S2546" s="3" t="inlineStr">
        <is>
          <t>상업용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산학리 140-12</t>
        </is>
      </c>
      <c r="B2547" s="3" t="inlineStr">
        <is>
          <t>계획관리지역</t>
        </is>
      </c>
      <c r="C2547" s="3" t="inlineStr">
        <is>
          <t>잡종지</t>
        </is>
      </c>
      <c r="D2547" s="3" t="inlineStr">
        <is>
          <t>대</t>
        </is>
      </c>
      <c r="E2547" s="3" t="inlineStr">
        <is>
          <t>매매</t>
        </is>
      </c>
      <c r="F2547" s="4" t="n">
        <v>700000</v>
      </c>
      <c r="G2547" s="4" t="n">
        <v>6807</v>
      </c>
      <c r="H2547" s="4" t="n">
        <v>2059</v>
      </c>
      <c r="I2547" s="5" t="n">
        <v>340</v>
      </c>
      <c r="J2547" s="5" t="n">
        <v>172.3</v>
      </c>
      <c r="K2547" s="3" t="inlineStr">
        <is>
          <t>26개 필지로 구성</t>
        </is>
      </c>
      <c r="L2547" s="6">
        <f>HYPERLINK("https://fin.land.naver.com/articles/2653353127", "매물Link")</f>
        <v/>
      </c>
      <c r="M2547" s="6">
        <f>HYPERLINK("https://map.naver.com/p/search/장군면 산학리 140-12", "지도Link")</f>
        <v/>
      </c>
      <c r="N2547" s="6">
        <f>HYPERLINK("http://www.eum.go.kr/web/ar/lu/luLandDet.jsp?pnu=3611035028101400012&amp;isNoScr=script&amp;mode=search", "토지이음")</f>
        <v/>
      </c>
      <c r="O2547" s="3" t="inlineStr">
        <is>
          <t>황제</t>
        </is>
      </c>
      <c r="P2547" s="4" t="n">
        <v>1</v>
      </c>
      <c r="Q2547" s="4" t="n">
        <v>287</v>
      </c>
      <c r="R2547" s="3" t="inlineStr">
        <is>
          <t>지정되지않음</t>
        </is>
      </c>
      <c r="S2547" s="3" t="inlineStr">
        <is>
          <t>단독</t>
        </is>
      </c>
      <c r="T2547" s="3" t="inlineStr">
        <is>
          <t>평지</t>
        </is>
      </c>
      <c r="U2547" s="3" t="inlineStr">
        <is>
          <t>가로장방</t>
        </is>
      </c>
      <c r="V2547" s="3" t="inlineStr">
        <is>
          <t>세로한면(가)</t>
        </is>
      </c>
    </row>
    <row r="2548">
      <c r="A2548" s="3" t="inlineStr">
        <is>
          <t>장군면 산학리 173-4</t>
        </is>
      </c>
      <c r="B2548" s="3" t="inlineStr">
        <is>
          <t>농림지역</t>
        </is>
      </c>
      <c r="C2548" s="3" t="inlineStr">
        <is>
          <t>잡종지</t>
        </is>
      </c>
      <c r="D2548" s="3" t="inlineStr">
        <is>
          <t>잡종지</t>
        </is>
      </c>
      <c r="E2548" s="3" t="inlineStr">
        <is>
          <t>매매</t>
        </is>
      </c>
      <c r="F2548" s="4" t="n">
        <v>265000</v>
      </c>
      <c r="G2548" s="4" t="n">
        <v>2915</v>
      </c>
      <c r="H2548" s="4" t="n">
        <v>882</v>
      </c>
      <c r="I2548" s="5" t="n">
        <v>300.5</v>
      </c>
      <c r="J2548" s="5" t="n">
        <v>59.2</v>
      </c>
      <c r="K2548" s="3" t="inlineStr">
        <is>
          <t>잡종지,서세종ic인접.세종청사4km.농업진흥구역.농업관련판매시설 가능</t>
        </is>
      </c>
      <c r="L2548" s="6">
        <f>HYPERLINK("https://fin.land.naver.com/articles/2651737405", "매물Link")</f>
        <v/>
      </c>
      <c r="M2548" s="6">
        <f>HYPERLINK("https://map.naver.com/p/search/장군면 산학리 173-4", "지도Link")</f>
        <v/>
      </c>
      <c r="N2548" s="6">
        <f>HYPERLINK("http://www.eum.go.kr/web/ar/lu/luLandDet.jsp?pnu=3611035028101730004&amp;isNoScr=script&amp;mode=search", "토지이음")</f>
        <v/>
      </c>
      <c r="O2548" s="3" t="inlineStr">
        <is>
          <t>온담</t>
        </is>
      </c>
      <c r="P2548" s="4" t="n">
        <v>1</v>
      </c>
      <c r="Q2548" s="4" t="n">
        <v>2915</v>
      </c>
      <c r="R2548" s="3" t="inlineStr">
        <is>
          <t>지정되지않음</t>
        </is>
      </c>
      <c r="S2548" s="3" t="inlineStr">
        <is>
          <t>답기타</t>
        </is>
      </c>
      <c r="T2548" s="3" t="inlineStr">
        <is>
          <t>평지</t>
        </is>
      </c>
      <c r="U2548" s="3" t="inlineStr">
        <is>
          <t>가로장방</t>
        </is>
      </c>
      <c r="V2548" s="3" t="inlineStr">
        <is>
          <t>소로각지</t>
        </is>
      </c>
    </row>
    <row r="2549">
      <c r="A2549" s="3" t="inlineStr">
        <is>
          <t>장군면 산학리 192-2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137000</v>
      </c>
      <c r="G2549" s="4" t="n">
        <v>3025</v>
      </c>
      <c r="H2549" s="4" t="n">
        <v>915</v>
      </c>
      <c r="I2549" s="5" t="n">
        <v>149.7</v>
      </c>
      <c r="J2549" s="5" t="n">
        <v>47.4</v>
      </c>
      <c r="K2549" s="3" t="inlineStr">
        <is>
          <t>대토로 추천하는 포장도로 접한 농림지역 농지입니다.</t>
        </is>
      </c>
      <c r="L2549" s="6">
        <f>HYPERLINK("https://fin.land.naver.com/articles/2652100354", "매물Link")</f>
        <v/>
      </c>
      <c r="M2549" s="6">
        <f>HYPERLINK("https://map.naver.com/p/search/장군면 산학리 192-2", "지도Link")</f>
        <v/>
      </c>
      <c r="N2549" s="6">
        <f>HYPERLINK("http://www.eum.go.kr/web/ar/lu/luLandDet.jsp?pnu=3611035028101920002&amp;isNoScr=script&amp;mode=search", "토지이음")</f>
        <v/>
      </c>
      <c r="O2549" s="3" t="inlineStr">
        <is>
          <t>미스터홈즈강남지사</t>
        </is>
      </c>
      <c r="P2549" s="4" t="n">
        <v>1</v>
      </c>
      <c r="Q2549" s="4" t="n">
        <v>3025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산학리 196-2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146000</v>
      </c>
      <c r="G2550" s="4" t="n">
        <v>4825</v>
      </c>
      <c r="H2550" s="4" t="n">
        <v>1460</v>
      </c>
      <c r="I2550" s="5" t="n">
        <v>100</v>
      </c>
      <c r="J2550" s="5" t="n">
        <v>47.4</v>
      </c>
      <c r="K2550" s="3" t="inlineStr">
        <is>
          <t>세종시 농지매매</t>
        </is>
      </c>
      <c r="L2550" s="6">
        <f>HYPERLINK("https://fin.land.naver.com/articles/2652868806", "매물Link")</f>
        <v/>
      </c>
      <c r="M2550" s="6">
        <f>HYPERLINK("https://map.naver.com/p/search/장군면 산학리 196-2", "지도Link")</f>
        <v/>
      </c>
      <c r="N2550" s="6">
        <f>HYPERLINK("http://www.eum.go.kr/web/ar/lu/luLandDet.jsp?pnu=3611035028101960002&amp;isNoScr=script&amp;mode=search", "토지이음")</f>
        <v/>
      </c>
      <c r="O2550" s="3" t="inlineStr">
        <is>
          <t>에이스</t>
        </is>
      </c>
      <c r="P2550" s="4" t="n">
        <v>1</v>
      </c>
      <c r="Q2550" s="4" t="n">
        <v>1780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산학리 200-2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89400</v>
      </c>
      <c r="G2551" s="4" t="n">
        <v>2955</v>
      </c>
      <c r="H2551" s="4" t="n">
        <v>894</v>
      </c>
      <c r="I2551" s="5" t="n">
        <v>100</v>
      </c>
      <c r="J2551" s="5" t="n">
        <v>47.4</v>
      </c>
      <c r="K2551" s="3" t="inlineStr">
        <is>
          <t>행복도시 인접 금액좋은 농림지역 답.</t>
        </is>
      </c>
      <c r="L2551" s="6">
        <f>HYPERLINK("https://fin.land.naver.com/articles/2654272985", "매물Link")</f>
        <v/>
      </c>
      <c r="M2551" s="6">
        <f>HYPERLINK("https://map.naver.com/p/search/장군면 산학리 200-2", "지도Link")</f>
        <v/>
      </c>
      <c r="N2551" s="6">
        <f>HYPERLINK("http://www.eum.go.kr/web/ar/lu/luLandDet.jsp?pnu=3611035028102000002&amp;isNoScr=script&amp;mode=search", "토지이음")</f>
        <v/>
      </c>
      <c r="O2551" s="3" t="inlineStr">
        <is>
          <t>미스터홈즈강남지사</t>
        </is>
      </c>
      <c r="P2551" s="4" t="n">
        <v>2</v>
      </c>
      <c r="Q2551" s="4" t="n">
        <v>2955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산학리 228-2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45595</v>
      </c>
      <c r="G2552" s="4" t="n">
        <v>2740</v>
      </c>
      <c r="H2552" s="4" t="n">
        <v>829</v>
      </c>
      <c r="I2552" s="5" t="n">
        <v>55</v>
      </c>
      <c r="J2552" s="5" t="n">
        <v>47.8</v>
      </c>
      <c r="K2552" s="3" t="inlineStr">
        <is>
          <t>세종시에 연접한 급매물건</t>
        </is>
      </c>
      <c r="L2552" s="6">
        <f>HYPERLINK("https://fin.land.naver.com/articles/2653340440", "매물Link")</f>
        <v/>
      </c>
      <c r="M2552" s="6">
        <f>HYPERLINK("https://map.naver.com/p/search/장군면 산학리 228-2", "지도Link")</f>
        <v/>
      </c>
      <c r="N2552" s="6">
        <f>HYPERLINK("http://www.eum.go.kr/web/ar/lu/luLandDet.jsp?pnu=3611035028102280002&amp;isNoScr=script&amp;mode=search", "토지이음")</f>
        <v/>
      </c>
      <c r="O2552" s="3" t="inlineStr">
        <is>
          <t>상상</t>
        </is>
      </c>
      <c r="P2552" s="4" t="n">
        <v>2</v>
      </c>
      <c r="Q2552" s="4" t="n">
        <v>2740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산학리 289-2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75000</v>
      </c>
      <c r="G2553" s="4" t="n">
        <v>1204</v>
      </c>
      <c r="H2553" s="4" t="n">
        <v>364</v>
      </c>
      <c r="I2553" s="5" t="n">
        <v>206</v>
      </c>
      <c r="J2553" s="5" t="n">
        <v>142.9</v>
      </c>
      <c r="K2553" s="3" t="inlineStr">
        <is>
          <t>2차선 도로접한 토지매매</t>
        </is>
      </c>
      <c r="L2553" s="6">
        <f>HYPERLINK("https://fin.land.naver.com/articles/2652868616", "매물Link")</f>
        <v/>
      </c>
      <c r="M2553" s="6">
        <f>HYPERLINK("https://map.naver.com/p/search/장군면 산학리 289-2", "지도Link")</f>
        <v/>
      </c>
      <c r="N2553" s="6">
        <f>HYPERLINK("http://www.eum.go.kr/web/ar/lu/luLandDet.jsp?pnu=3611035028102890002&amp;isNoScr=script&amp;mode=search", "토지이음")</f>
        <v/>
      </c>
      <c r="O2553" s="3" t="inlineStr">
        <is>
          <t>에이스</t>
        </is>
      </c>
      <c r="P2553" s="4" t="n">
        <v>1</v>
      </c>
      <c r="Q2553" s="4" t="n">
        <v>132</v>
      </c>
      <c r="R2553" s="3" t="inlineStr">
        <is>
          <t>지정되지않음</t>
        </is>
      </c>
      <c r="S2553" s="3" t="inlineStr">
        <is>
          <t>주거기타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세로한면(불)</t>
        </is>
      </c>
    </row>
    <row r="2554">
      <c r="A2554" s="3" t="inlineStr">
        <is>
          <t>장군면 산학리 348-1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20000</v>
      </c>
      <c r="G2554" s="4" t="n">
        <v>336</v>
      </c>
      <c r="H2554" s="4" t="n">
        <v>102</v>
      </c>
      <c r="I2554" s="5" t="n">
        <v>196.1</v>
      </c>
      <c r="J2554" s="5" t="n">
        <v>85.09999999999999</v>
      </c>
      <c r="K2554" s="3" t="inlineStr">
        <is>
          <t>세종시 인근 계획관리 토지로 근린상가, 창고, 식당부지로 개발가능한 땅</t>
        </is>
      </c>
      <c r="L2554" s="6">
        <f>HYPERLINK("https://fin.land.naver.com/articles/2654295906", "매물Link")</f>
        <v/>
      </c>
      <c r="M2554" s="6">
        <f>HYPERLINK("https://map.naver.com/p/search/장군면 산학리 348-1", "지도Link")</f>
        <v/>
      </c>
      <c r="N2554" s="6">
        <f>HYPERLINK("http://www.eum.go.kr/web/ar/lu/luLandDet.jsp?pnu=3611035028103480001&amp;isNoScr=script&amp;mode=search", "토지이음")</f>
        <v/>
      </c>
      <c r="O2554" s="3" t="inlineStr">
        <is>
          <t>신한국</t>
        </is>
      </c>
      <c r="P2554" s="4" t="n">
        <v>1</v>
      </c>
      <c r="Q2554" s="4" t="n">
        <v>107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산학리 351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150000</v>
      </c>
      <c r="G2555" s="4" t="n">
        <v>4963</v>
      </c>
      <c r="H2555" s="4" t="n">
        <v>1501</v>
      </c>
      <c r="I2555" s="5" t="n">
        <v>99.90000000000001</v>
      </c>
      <c r="J2555" s="5" t="n">
        <v>31.4</v>
      </c>
      <c r="K2555" s="3" t="inlineStr">
        <is>
          <t>세종시 최인접 토지</t>
        </is>
      </c>
      <c r="L2555" s="6">
        <f>HYPERLINK("https://fin.land.naver.com/articles/2652260810", "매물Link")</f>
        <v/>
      </c>
      <c r="M2555" s="6">
        <f>HYPERLINK("https://map.naver.com/p/search/장군면 산학리 351", "지도Link")</f>
        <v/>
      </c>
      <c r="N2555" s="6">
        <f>HYPERLINK("http://www.eum.go.kr/web/ar/lu/luLandDet.jsp?pnu=3611035028103510000&amp;isNoScr=script&amp;mode=search",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585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완경사</t>
        </is>
      </c>
      <c r="U2555" s="3" t="inlineStr">
        <is>
          <t>가로장방</t>
        </is>
      </c>
      <c r="V2555" s="3" t="inlineStr">
        <is>
          <t>맹지</t>
        </is>
      </c>
    </row>
    <row r="2556">
      <c r="A2556" s="3" t="inlineStr">
        <is>
          <t>장군면 산학리 393</t>
        </is>
      </c>
      <c r="B2556" s="3" t="inlineStr">
        <is>
          <t>생산관리지역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18000</v>
      </c>
      <c r="G2556" s="4" t="n">
        <v>783</v>
      </c>
      <c r="H2556" s="4" t="n">
        <v>237</v>
      </c>
      <c r="I2556" s="5" t="n">
        <v>75.90000000000001</v>
      </c>
      <c r="J2556" s="5" t="n">
        <v>34</v>
      </c>
      <c r="K2556" s="3" t="inlineStr">
        <is>
          <t>장군면 산학리 도로에길게접한 전</t>
        </is>
      </c>
      <c r="L2556" s="6">
        <f>HYPERLINK("https://fin.land.naver.com/articles/2653835305", "매물Link")</f>
        <v/>
      </c>
      <c r="M2556" s="6">
        <f>HYPERLINK("https://map.naver.com/p/search/장군면 산학리 393", "지도Link")</f>
        <v/>
      </c>
      <c r="N2556" s="6">
        <f>HYPERLINK("http://www.eum.go.kr/web/ar/lu/luLandDet.jsp?pnu=3611035028103930000&amp;isNoScr=script&amp;mode=search", "토지이음")</f>
        <v/>
      </c>
      <c r="O2556" s="3" t="inlineStr">
        <is>
          <t>세종천지</t>
        </is>
      </c>
      <c r="P2556" s="4" t="n">
        <v>1</v>
      </c>
      <c r="Q2556" s="4" t="n">
        <v>783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산학리 397</t>
        </is>
      </c>
      <c r="B2557" s="3" t="inlineStr">
        <is>
          <t>계획관리지역</t>
        </is>
      </c>
      <c r="C2557" s="3" t="inlineStr">
        <is>
          <t>전</t>
        </is>
      </c>
      <c r="D2557" s="3" t="inlineStr">
        <is>
          <t>대</t>
        </is>
      </c>
      <c r="E2557" s="3" t="inlineStr">
        <is>
          <t>매매</t>
        </is>
      </c>
      <c r="F2557" s="4" t="n">
        <v>25000</v>
      </c>
      <c r="G2557" s="4" t="n">
        <v>774</v>
      </c>
      <c r="H2557" s="4" t="n">
        <v>234</v>
      </c>
      <c r="I2557" s="5" t="n">
        <v>106.8</v>
      </c>
      <c r="J2557" s="5" t="n">
        <v>45</v>
      </c>
      <c r="K2557" s="3" t="inlineStr">
        <is>
          <t>도심과 가까우면서도 조용, 청정지역</t>
        </is>
      </c>
      <c r="L2557" s="6">
        <f>HYPERLINK("https://fin.land.naver.com/articles/2652683134", "매물Link")</f>
        <v/>
      </c>
      <c r="M2557" s="6">
        <f>HYPERLINK("https://map.naver.com/p/search/장군면 산학리 397", "지도Link")</f>
        <v/>
      </c>
      <c r="N2557" s="6">
        <f>HYPERLINK("http://www.eum.go.kr/web/ar/lu/luLandDet.jsp?pnu=3611035028103970000&amp;isNoScr=script&amp;mode=search", "토지이음")</f>
        <v/>
      </c>
      <c r="O2557" s="3" t="inlineStr">
        <is>
          <t>새땅</t>
        </is>
      </c>
      <c r="P2557" s="4" t="n">
        <v>1</v>
      </c>
      <c r="Q2557" s="4" t="n">
        <v>774</v>
      </c>
      <c r="R2557" s="3" t="inlineStr">
        <is>
          <t>지정되지않음</t>
        </is>
      </c>
      <c r="S2557" s="3" t="inlineStr">
        <is>
          <t>전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산학리 48-4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90600</v>
      </c>
      <c r="G2558" s="4" t="n">
        <v>1000</v>
      </c>
      <c r="H2558" s="4" t="n">
        <v>302</v>
      </c>
      <c r="I2558" s="5" t="n">
        <v>300</v>
      </c>
      <c r="J2558" s="5" t="n">
        <v>54.2</v>
      </c>
      <c r="K2558" s="3" t="inlineStr">
        <is>
          <t>도로 접한 예쁜 토지 매매,영평사 근처로 카페나 상가 추천 드려요</t>
        </is>
      </c>
      <c r="L2558" s="6">
        <f>HYPERLINK("https://fin.land.naver.com/articles/2655507014", "매물Link")</f>
        <v/>
      </c>
      <c r="M2558" s="6">
        <f>HYPERLINK("https://map.naver.com/p/search/장군면 산학리 48-4", "지도Link")</f>
        <v/>
      </c>
      <c r="N2558" s="6">
        <f>HYPERLINK("http://www.eum.go.kr/web/ar/lu/luLandDet.jsp?pnu=3611035028100480004&amp;isNoScr=script&amp;mode=search", "토지이음")</f>
        <v/>
      </c>
      <c r="O2558" s="3" t="inlineStr">
        <is>
          <t>태양투</t>
        </is>
      </c>
      <c r="P2558" s="4" t="n">
        <v>1</v>
      </c>
      <c r="Q2558" s="4" t="n">
        <v>1000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산학리 61</t>
        </is>
      </c>
      <c r="B2559" s="3" t="inlineStr">
        <is>
          <t>계획관리지역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169000</v>
      </c>
      <c r="G2559" s="4" t="n">
        <v>3279</v>
      </c>
      <c r="H2559" s="4" t="n">
        <v>992</v>
      </c>
      <c r="I2559" s="5" t="n">
        <v>170.4</v>
      </c>
      <c r="J2559" s="5" t="n">
        <v>57</v>
      </c>
      <c r="K2559" s="3" t="inlineStr">
        <is>
          <t>영평사 인근 계획관리지역 토지매매</t>
        </is>
      </c>
      <c r="L2559" s="6">
        <f>HYPERLINK("https://fin.land.naver.com/articles/2652869679", "매물Link")</f>
        <v/>
      </c>
      <c r="M2559" s="6">
        <f>HYPERLINK("https://map.naver.com/p/search/장군면 산학리 61", "지도Link")</f>
        <v/>
      </c>
      <c r="N2559" s="6">
        <f>HYPERLINK("http://www.eum.go.kr/web/ar/lu/luLandDet.jsp?pnu=3611035028100610000&amp;isNoScr=script&amp;mode=search", "토지이음")</f>
        <v/>
      </c>
      <c r="O2559" s="3" t="inlineStr">
        <is>
          <t>에이스</t>
        </is>
      </c>
      <c r="P2559" s="4" t="n">
        <v>1</v>
      </c>
      <c r="Q2559" s="4" t="n">
        <v>3279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맹지</t>
        </is>
      </c>
    </row>
    <row r="2560">
      <c r="A2560" s="3" t="inlineStr">
        <is>
          <t>장군면 산학리 62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110000</v>
      </c>
      <c r="G2560" s="4" t="n">
        <v>2655</v>
      </c>
      <c r="H2560" s="4" t="n">
        <v>803</v>
      </c>
      <c r="I2560" s="5" t="n">
        <v>137</v>
      </c>
      <c r="J2560" s="5" t="n">
        <v>57</v>
      </c>
      <c r="K2560" s="3" t="inlineStr">
        <is>
          <t>영평사 인근 계획관리지역 토지매매</t>
        </is>
      </c>
      <c r="L2560" s="6">
        <f>HYPERLINK("https://fin.land.naver.com/articles/2652869060", "매물Link")</f>
        <v/>
      </c>
      <c r="M2560" s="6">
        <f>HYPERLINK("https://map.naver.com/p/search/장군면 산학리 62", "지도Link")</f>
        <v/>
      </c>
      <c r="N2560" s="6">
        <f>HYPERLINK("http://www.eum.go.kr/web/ar/lu/luLandDet.jsp?pnu=3611035028100620000&amp;isNoScr=script&amp;mode=search", "토지이음")</f>
        <v/>
      </c>
      <c r="O2560" s="3" t="inlineStr">
        <is>
          <t>에이스</t>
        </is>
      </c>
      <c r="P2560" s="4" t="n">
        <v>1</v>
      </c>
      <c r="Q2560" s="4" t="n">
        <v>2655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완경사</t>
        </is>
      </c>
      <c r="U2560" s="3" t="inlineStr">
        <is>
          <t>부정형</t>
        </is>
      </c>
      <c r="V2560" s="3" t="inlineStr">
        <is>
          <t>맹지</t>
        </is>
      </c>
    </row>
    <row r="2561">
      <c r="A2561" s="3" t="inlineStr">
        <is>
          <t>장군면 산학리 66-11</t>
        </is>
      </c>
      <c r="B2561" s="3" t="inlineStr">
        <is>
          <t>보전관리지역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65000</v>
      </c>
      <c r="G2561" s="4" t="n">
        <v>800</v>
      </c>
      <c r="H2561" s="4" t="n">
        <v>242</v>
      </c>
      <c r="I2561" s="5" t="n">
        <v>268.6</v>
      </c>
      <c r="J2561" s="5" t="n">
        <v>80.3</v>
      </c>
      <c r="K2561" s="3" t="inlineStr">
        <is>
          <t>주택지 착한가격협의 급어떨까요 위치  인프라 조성 완료 이웃 집 입주했음</t>
        </is>
      </c>
      <c r="L2561" s="6">
        <f>HYPERLINK("https://fin.land.naver.com/articles/2651712496", "매물Link")</f>
        <v/>
      </c>
      <c r="M2561" s="6">
        <f>HYPERLINK("https://map.naver.com/p/search/장군면 산학리 66-11", "지도Link")</f>
        <v/>
      </c>
      <c r="N2561" s="6">
        <f>HYPERLINK("http://www.eum.go.kr/web/ar/lu/luLandDet.jsp?pnu=3611035028100660011&amp;isNoScr=script&amp;mode=search", "토지이음")</f>
        <v/>
      </c>
      <c r="O2561" s="3" t="inlineStr">
        <is>
          <t>세종시삼성래미안</t>
        </is>
      </c>
      <c r="P2561" s="4" t="n">
        <v>1</v>
      </c>
      <c r="Q2561" s="4" t="n">
        <v>523</v>
      </c>
      <c r="R2561" s="3" t="inlineStr">
        <is>
          <t>지정되지않음</t>
        </is>
      </c>
      <c r="S2561" s="3" t="inlineStr">
        <is>
          <t>주거나지</t>
        </is>
      </c>
      <c r="T2561" s="3" t="inlineStr">
        <is>
          <t>완경사</t>
        </is>
      </c>
      <c r="U2561" s="3" t="inlineStr">
        <is>
          <t>사다리형</t>
        </is>
      </c>
      <c r="V2561" s="3" t="inlineStr">
        <is>
          <t>소로한면</t>
        </is>
      </c>
    </row>
    <row r="2562">
      <c r="A2562" s="3" t="inlineStr">
        <is>
          <t>장군면 산학리 96</t>
        </is>
      </c>
      <c r="B2562" s="3" t="inlineStr">
        <is>
          <t>생산관리지역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59000</v>
      </c>
      <c r="G2562" s="4" t="n">
        <v>2817</v>
      </c>
      <c r="H2562" s="4" t="n">
        <v>852</v>
      </c>
      <c r="I2562" s="5" t="n">
        <v>69.2</v>
      </c>
      <c r="J2562" s="5" t="n">
        <v>26.2</v>
      </c>
      <c r="K2562" s="3" t="inlineStr">
        <is>
          <t>급매,도로접한 저렴한 투자용 토지,생산.성장관리지역,가격조정가능</t>
        </is>
      </c>
      <c r="L2562" s="6">
        <f>HYPERLINK("https://fin.land.naver.com/articles/2653434257", "매물Link")</f>
        <v/>
      </c>
      <c r="M2562" s="6">
        <f>HYPERLINK("https://map.naver.com/p/search/장군면 산학리 96", "지도Link")</f>
        <v/>
      </c>
      <c r="N2562" s="6">
        <f>HYPERLINK("http://www.eum.go.kr/web/ar/lu/luLandDet.jsp?pnu=3611035028100960000&amp;isNoScr=script&amp;mode=search", "토지이음")</f>
        <v/>
      </c>
      <c r="O2562" s="3" t="inlineStr">
        <is>
          <t>고운맘</t>
        </is>
      </c>
      <c r="P2562" s="4" t="n">
        <v>1</v>
      </c>
      <c r="Q2562" s="4" t="n">
        <v>2817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가로장방</t>
        </is>
      </c>
      <c r="V2562" s="3" t="inlineStr">
        <is>
          <t>세로한면(불)</t>
        </is>
      </c>
    </row>
    <row r="2563">
      <c r="A2563" s="3" t="inlineStr">
        <is>
          <t>장군면 산학리 산18</t>
        </is>
      </c>
      <c r="B2563" s="3" t="inlineStr">
        <is>
          <t>농림지역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500000</v>
      </c>
      <c r="G2563" s="4" t="n">
        <v>79736</v>
      </c>
      <c r="H2563" s="4" t="n">
        <v>24120</v>
      </c>
      <c r="I2563" s="5" t="n">
        <v>20.7</v>
      </c>
      <c r="J2563" s="5" t="n">
        <v>3.9</v>
      </c>
      <c r="K2563" s="3" t="inlineStr">
        <is>
          <t>세종 영평사 인근 풍수 뛰어난 임야. 종중땅 추천</t>
        </is>
      </c>
      <c r="L2563" s="6">
        <f>HYPERLINK("https://fin.land.naver.com/articles/2655123957", "매물Link")</f>
        <v/>
      </c>
      <c r="M2563" s="6">
        <f>HYPERLINK("https://map.naver.com/p/search/장군면 산학리 산18", "지도Link")</f>
        <v/>
      </c>
      <c r="N2563" s="6">
        <f>HYPERLINK("http://www.eum.go.kr/web/ar/lu/luLandDet.jsp?pnu=3611035028200180000&amp;isNoScr=script&amp;mode=search", "토지이음")</f>
        <v/>
      </c>
      <c r="O2563" s="3" t="inlineStr">
        <is>
          <t>세종금밭</t>
        </is>
      </c>
      <c r="P2563" s="4" t="n">
        <v>1</v>
      </c>
      <c r="Q2563" s="4" t="n">
        <v>79736</v>
      </c>
      <c r="R2563" s="3" t="inlineStr">
        <is>
          <t>보전관리지역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산학리 산18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500000</v>
      </c>
      <c r="G2564" s="4" t="n">
        <v>79736</v>
      </c>
      <c r="H2564" s="4" t="n">
        <v>24120</v>
      </c>
      <c r="I2564" s="5" t="n">
        <v>20.7</v>
      </c>
      <c r="J2564" s="5" t="n">
        <v>3.9</v>
      </c>
      <c r="K2564" s="3" t="inlineStr">
        <is>
          <t>강가를 바라보는 대형평수 토지 건축가능 시세이하 투자가치좋은 땅</t>
        </is>
      </c>
      <c r="L2564" s="6">
        <f>HYPERLINK("https://fin.land.naver.com/articles/2653464900", "매물Link")</f>
        <v/>
      </c>
      <c r="M2564" s="6">
        <f>HYPERLINK("https://map.naver.com/p/search/장군면 산학리 산18", "지도Link")</f>
        <v/>
      </c>
      <c r="N2564" s="6">
        <f>HYPERLINK("http://www.eum.go.kr/web/ar/lu/luLandDet.jsp?pnu=3611035028200180000&amp;isNoScr=script&amp;mode=search", "토지이음")</f>
        <v/>
      </c>
      <c r="O2564" s="3" t="inlineStr">
        <is>
          <t>신안산</t>
        </is>
      </c>
      <c r="P2564" s="4" t="n">
        <v>3</v>
      </c>
      <c r="Q2564" s="4" t="n">
        <v>79736</v>
      </c>
      <c r="R2564" s="3" t="inlineStr">
        <is>
          <t>보전관리지역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송문리 141-3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42000</v>
      </c>
      <c r="G2565" s="4" t="n">
        <v>660</v>
      </c>
      <c r="H2565" s="4" t="n">
        <v>200</v>
      </c>
      <c r="I2565" s="5" t="n">
        <v>210</v>
      </c>
      <c r="J2565" s="5" t="n">
        <v>79.40000000000001</v>
      </c>
      <c r="K2565" s="3" t="inlineStr">
        <is>
          <t>도로접 계획관리지역 알토란 토지 다용도목적 사용가능</t>
        </is>
      </c>
      <c r="L2565" s="6">
        <f>HYPERLINK("https://fin.land.naver.com/articles/2652746410", "매물Link")</f>
        <v/>
      </c>
      <c r="M2565" s="6">
        <f>HYPERLINK("https://map.naver.com/p/search/장군면 송문리 141-3", "지도Link")</f>
        <v/>
      </c>
      <c r="N2565" s="6">
        <f>HYPERLINK("http://www.eum.go.kr/web/ar/lu/luLandDet.jsp?pnu=3611035029101410003&amp;isNoScr=script&amp;mode=search",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660</v>
      </c>
      <c r="R2565" s="3" t="inlineStr">
        <is>
          <t>지정되지않음</t>
        </is>
      </c>
      <c r="S2565" s="3" t="inlineStr">
        <is>
          <t>전기타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송문리 236-3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90000</v>
      </c>
      <c r="G2566" s="4" t="n">
        <v>1944</v>
      </c>
      <c r="H2566" s="4" t="n">
        <v>588</v>
      </c>
      <c r="I2566" s="5" t="n">
        <v>153.1</v>
      </c>
      <c r="J2566" s="5" t="n">
        <v>37.1</v>
      </c>
      <c r="K2566" s="3" t="inlineStr">
        <is>
          <t>장군면 계획관리지역 토지매매</t>
        </is>
      </c>
      <c r="L2566" s="6">
        <f>HYPERLINK("https://fin.land.naver.com/articles/2652027832", "매물Link")</f>
        <v/>
      </c>
      <c r="M2566" s="6">
        <f>HYPERLINK("https://map.naver.com/p/search/장군면 송문리 236-3", "지도Link")</f>
        <v/>
      </c>
      <c r="N2566" s="6">
        <f>HYPERLINK("http://www.eum.go.kr/web/ar/lu/luLandDet.jsp?pnu=3611035029102360003&amp;isNoScr=script&amp;mode=search", "토지이음")</f>
        <v/>
      </c>
      <c r="O2566" s="3" t="inlineStr">
        <is>
          <t>에이스</t>
        </is>
      </c>
      <c r="P2566" s="4" t="n">
        <v>1</v>
      </c>
      <c r="Q2566" s="4" t="n">
        <v>1944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송문리 248-1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120000</v>
      </c>
      <c r="G2567" s="4" t="n">
        <v>2694</v>
      </c>
      <c r="H2567" s="4" t="n">
        <v>815</v>
      </c>
      <c r="I2567" s="5" t="n">
        <v>147.2</v>
      </c>
      <c r="J2567" s="5" t="n">
        <v>53.9</v>
      </c>
      <c r="K2567" s="3" t="inlineStr">
        <is>
          <t>nan</t>
        </is>
      </c>
      <c r="L2567" s="6">
        <f>HYPERLINK("https://fin.land.naver.com/articles/2651401292", "매물Link")</f>
        <v/>
      </c>
      <c r="M2567" s="6">
        <f>HYPERLINK("https://map.naver.com/p/search/장군면 송문리 248-1", "지도Link")</f>
        <v/>
      </c>
      <c r="N2567" s="6">
        <f>HYPERLINK("http://www.eum.go.kr/web/ar/lu/luLandDet.jsp?pnu=3611035029102480001&amp;isNoScr=script&amp;mode=search", "토지이음")</f>
        <v/>
      </c>
      <c r="O2567" s="3" t="inlineStr">
        <is>
          <t>세종지평</t>
        </is>
      </c>
      <c r="P2567" s="4" t="n">
        <v>1</v>
      </c>
      <c r="Q2567" s="4" t="n">
        <v>2694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송문리 249</t>
        </is>
      </c>
      <c r="B2568" s="3" t="inlineStr">
        <is>
          <t>계획관리지역</t>
        </is>
      </c>
      <c r="C2568" s="3" t="inlineStr">
        <is>
          <t>공장용지</t>
        </is>
      </c>
      <c r="D2568" s="3" t="inlineStr">
        <is>
          <t>대</t>
        </is>
      </c>
      <c r="E2568" s="3" t="inlineStr">
        <is>
          <t>매매</t>
        </is>
      </c>
      <c r="F2568" s="4" t="n">
        <v>165000</v>
      </c>
      <c r="G2568" s="4" t="n">
        <v>2456</v>
      </c>
      <c r="H2568" s="4" t="n">
        <v>743</v>
      </c>
      <c r="I2568" s="5" t="n">
        <v>222.1</v>
      </c>
      <c r="J2568" s="5" t="n">
        <v>101.6</v>
      </c>
      <c r="K2568" s="3" t="inlineStr">
        <is>
          <t>nan</t>
        </is>
      </c>
      <c r="L2568" s="6">
        <f>HYPERLINK("https://fin.land.naver.com/articles/2652728753", "매물Link")</f>
        <v/>
      </c>
      <c r="M2568" s="6">
        <f>HYPERLINK("https://map.naver.com/p/search/장군면 송문리 249", "지도Link")</f>
        <v/>
      </c>
      <c r="N2568" s="6">
        <f>HYPERLINK("http://www.eum.go.kr/web/ar/lu/luLandDet.jsp?pnu=3611035029102490000&amp;isNoScr=script&amp;mode=search", "토지이음")</f>
        <v/>
      </c>
      <c r="O2568" s="3" t="inlineStr">
        <is>
          <t>대박</t>
        </is>
      </c>
      <c r="P2568" s="4" t="n">
        <v>1</v>
      </c>
      <c r="Q2568" s="4" t="n">
        <v>2456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송문리 26-3</t>
        </is>
      </c>
      <c r="B2569" s="3" t="inlineStr">
        <is>
          <t>계획관리지역</t>
        </is>
      </c>
      <c r="C2569" s="3" t="inlineStr">
        <is>
          <t>대</t>
        </is>
      </c>
      <c r="D2569" s="3" t="inlineStr">
        <is>
          <t>대</t>
        </is>
      </c>
      <c r="E2569" s="3" t="inlineStr">
        <is>
          <t>매매</t>
        </is>
      </c>
      <c r="F2569" s="4" t="n">
        <v>48000</v>
      </c>
      <c r="G2569" s="4" t="n">
        <v>932</v>
      </c>
      <c r="H2569" s="4" t="n">
        <v>282</v>
      </c>
      <c r="I2569" s="5" t="n">
        <v>170.2</v>
      </c>
      <c r="J2569" s="5" t="n">
        <v>94.2</v>
      </c>
      <c r="K2569" s="3" t="inlineStr">
        <is>
          <t>생명나무, 초급매 도로낀 계획관리 사각형모양 ,대교천 가까운 토지</t>
        </is>
      </c>
      <c r="L2569" s="6">
        <f>HYPERLINK("https://fin.land.naver.com/articles/2651248453", "매물Link")</f>
        <v/>
      </c>
      <c r="M2569" s="6">
        <f>HYPERLINK("https://map.naver.com/p/search/장군면 송문리 26-3", "지도Link")</f>
        <v/>
      </c>
      <c r="N2569" s="6">
        <f>HYPERLINK("http://www.eum.go.kr/web/ar/lu/luLandDet.jsp?pnu=3611035029100260003&amp;isNoScr=script&amp;mode=search", "토지이음")</f>
        <v/>
      </c>
      <c r="O2569" s="3" t="inlineStr">
        <is>
          <t>생명나무</t>
        </is>
      </c>
      <c r="P2569" s="4" t="n">
        <v>1</v>
      </c>
      <c r="Q2569" s="4" t="n">
        <v>200</v>
      </c>
      <c r="R2569" s="3" t="inlineStr">
        <is>
          <t>지정되지않음</t>
        </is>
      </c>
      <c r="S2569" s="3" t="inlineStr">
        <is>
          <t>주거나지</t>
        </is>
      </c>
      <c r="T2569" s="3" t="inlineStr">
        <is>
          <t>완경사</t>
        </is>
      </c>
      <c r="U2569" s="3" t="inlineStr">
        <is>
          <t>사다리형</t>
        </is>
      </c>
      <c r="V2569" s="3" t="inlineStr">
        <is>
          <t>세로한면(가)</t>
        </is>
      </c>
    </row>
    <row r="2570">
      <c r="A2570" s="3" t="inlineStr">
        <is>
          <t>장군면 송문리 26-3</t>
        </is>
      </c>
      <c r="B2570" s="3" t="inlineStr">
        <is>
          <t>계획관리지역</t>
        </is>
      </c>
      <c r="C2570" s="3" t="inlineStr">
        <is>
          <t>대</t>
        </is>
      </c>
      <c r="D2570" s="3" t="inlineStr">
        <is>
          <t>임야</t>
        </is>
      </c>
      <c r="E2570" s="3" t="inlineStr">
        <is>
          <t>매매</t>
        </is>
      </c>
      <c r="F2570" s="4" t="n">
        <v>48000</v>
      </c>
      <c r="G2570" s="4" t="n">
        <v>929</v>
      </c>
      <c r="H2570" s="4" t="n">
        <v>281</v>
      </c>
      <c r="I2570" s="5" t="n">
        <v>170.8</v>
      </c>
      <c r="J2570" s="5" t="n">
        <v>94.2</v>
      </c>
      <c r="K2570" s="3" t="inlineStr">
        <is>
          <t>세종시 장군면 송문리 잘 형성된 전원주택지 시세 이하 급매</t>
        </is>
      </c>
      <c r="L2570" s="6">
        <f>HYPERLINK("https://fin.land.naver.com/articles/2655852349", "매물Link")</f>
        <v/>
      </c>
      <c r="M2570" s="6">
        <f>HYPERLINK("https://map.naver.com/p/search/장군면 송문리 26-3", "지도Link")</f>
        <v/>
      </c>
      <c r="N2570" s="6">
        <f>HYPERLINK("http://www.eum.go.kr/web/ar/lu/luLandDet.jsp?pnu=3611035029100260003&amp;isNoScr=script&amp;mode=search", "토지이음")</f>
        <v/>
      </c>
      <c r="O2570" s="3" t="inlineStr">
        <is>
          <t>나침반</t>
        </is>
      </c>
      <c r="P2570" s="4" t="n">
        <v>1</v>
      </c>
      <c r="Q2570" s="4" t="n">
        <v>200</v>
      </c>
      <c r="R2570" s="3" t="inlineStr">
        <is>
          <t>지정되지않음</t>
        </is>
      </c>
      <c r="S2570" s="3" t="inlineStr">
        <is>
          <t>주거나지</t>
        </is>
      </c>
      <c r="T2570" s="3" t="inlineStr">
        <is>
          <t>완경사</t>
        </is>
      </c>
      <c r="U2570" s="3" t="inlineStr">
        <is>
          <t>사다리형</t>
        </is>
      </c>
      <c r="V2570" s="3" t="inlineStr">
        <is>
          <t>세로한면(가)</t>
        </is>
      </c>
    </row>
    <row r="2571">
      <c r="A2571" s="3" t="inlineStr">
        <is>
          <t>장군면 송문리 281-1</t>
        </is>
      </c>
      <c r="B2571" s="3" t="inlineStr">
        <is>
          <t>보전관리지역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28000</v>
      </c>
      <c r="G2571" s="4" t="n">
        <v>511</v>
      </c>
      <c r="H2571" s="4" t="n">
        <v>155</v>
      </c>
      <c r="I2571" s="5" t="n">
        <v>180.6</v>
      </c>
      <c r="J2571" s="5" t="n">
        <v>80</v>
      </c>
      <c r="K2571" s="3" t="inlineStr">
        <is>
          <t>막힘없는 조망권뷰 최상 전원주택지,가격조정가능</t>
        </is>
      </c>
      <c r="L2571" s="6">
        <f>HYPERLINK("https://fin.land.naver.com/articles/2654645599", "매물Link")</f>
        <v/>
      </c>
      <c r="M2571" s="6">
        <f>HYPERLINK("https://map.naver.com/p/search/장군면 송문리 281-1", "지도Link")</f>
        <v/>
      </c>
      <c r="N2571" s="6">
        <f>HYPERLINK("http://www.eum.go.kr/web/ar/lu/luLandDet.jsp?pnu=3611035029102810001&amp;isNoScr=script&amp;mode=search",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449</v>
      </c>
      <c r="R2571" s="3" t="inlineStr">
        <is>
          <t>지정되지않음</t>
        </is>
      </c>
      <c r="S2571" s="3" t="inlineStr">
        <is>
          <t>주거기타</t>
        </is>
      </c>
      <c r="T2571" s="3" t="inlineStr">
        <is>
          <t>완경사</t>
        </is>
      </c>
      <c r="U2571" s="3" t="inlineStr">
        <is>
          <t>사다리형</t>
        </is>
      </c>
      <c r="V2571" s="3" t="inlineStr">
        <is>
          <t>세로한면(가)</t>
        </is>
      </c>
    </row>
    <row r="2572">
      <c r="A2572" s="3" t="inlineStr">
        <is>
          <t>장군면 송문리 281-32</t>
        </is>
      </c>
      <c r="B2572" s="3" t="inlineStr">
        <is>
          <t>보전관리지역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60000</v>
      </c>
      <c r="G2572" s="4" t="n">
        <v>1412</v>
      </c>
      <c r="H2572" s="4" t="n">
        <v>427</v>
      </c>
      <c r="I2572" s="5" t="n">
        <v>140.5</v>
      </c>
      <c r="J2572" s="5" t="n">
        <v>31.4</v>
      </c>
      <c r="K2572" s="3" t="inlineStr">
        <is>
          <t>장래 유망한 토지</t>
        </is>
      </c>
      <c r="L2572" s="6">
        <f>HYPERLINK("https://fin.land.naver.com/articles/2652262321", "매물Link")</f>
        <v/>
      </c>
      <c r="M2572" s="6">
        <f>HYPERLINK("https://map.naver.com/p/search/장군면 송문리 281-32", "지도Link")</f>
        <v/>
      </c>
      <c r="N2572" s="6">
        <f>HYPERLINK("http://www.eum.go.kr/web/ar/lu/luLandDet.jsp?pnu=3611035029102810032&amp;isNoScr=script&amp;mode=search", "토지이음")</f>
        <v/>
      </c>
      <c r="O2572" s="3" t="inlineStr">
        <is>
          <t>새땅</t>
        </is>
      </c>
      <c r="P2572" s="4" t="n">
        <v>1</v>
      </c>
      <c r="Q2572" s="4" t="n">
        <v>1412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가로장방</t>
        </is>
      </c>
      <c r="V2572" s="3" t="inlineStr">
        <is>
          <t>세로한면(가)</t>
        </is>
      </c>
    </row>
    <row r="2573">
      <c r="A2573" s="3" t="inlineStr">
        <is>
          <t>장군면 송문리 30-5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26000</v>
      </c>
      <c r="G2573" s="4" t="n">
        <v>499</v>
      </c>
      <c r="H2573" s="4" t="n">
        <v>151</v>
      </c>
      <c r="I2573" s="5" t="n">
        <v>172.2</v>
      </c>
      <c r="J2573" s="5" t="n">
        <v>41.8</v>
      </c>
      <c r="K2573" s="3" t="inlineStr">
        <is>
          <t>계획관리, 풍경 좋은  일조권 좋은토지입니다</t>
        </is>
      </c>
      <c r="L2573" s="6">
        <f>HYPERLINK("https://fin.land.naver.com/articles/2655664222", "매물Link")</f>
        <v/>
      </c>
      <c r="M2573" s="6">
        <f>HYPERLINK("https://map.naver.com/p/search/장군면 송문리 30-5", "지도Link")</f>
        <v/>
      </c>
      <c r="N2573" s="6">
        <f>HYPERLINK("http://www.eum.go.kr/web/ar/lu/luLandDet.jsp?pnu=3611035029100300005&amp;isNoScr=script&amp;mode=search", "토지이음")</f>
        <v/>
      </c>
      <c r="O2573" s="3" t="inlineStr">
        <is>
          <t>세종신동아</t>
        </is>
      </c>
      <c r="P2573" s="4" t="n">
        <v>2</v>
      </c>
      <c r="Q2573" s="4" t="n">
        <v>499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송문리 30-5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26000</v>
      </c>
      <c r="G2574" s="4" t="n">
        <v>499</v>
      </c>
      <c r="H2574" s="4" t="n">
        <v>151</v>
      </c>
      <c r="I2574" s="5" t="n">
        <v>172.2</v>
      </c>
      <c r="J2574" s="5" t="n">
        <v>41.8</v>
      </c>
      <c r="K2574" s="3" t="inlineStr">
        <is>
          <t>완만한 경사 높은 위치로 주변 풍광이 뛰어나고 최상의 전망, 계획관리</t>
        </is>
      </c>
      <c r="L2574" s="6">
        <f>HYPERLINK("https://fin.land.naver.com/articles/2655911302", "매물Link")</f>
        <v/>
      </c>
      <c r="M2574" s="6">
        <f>HYPERLINK("https://map.naver.com/p/search/장군면 송문리 30-5", "지도Link")</f>
        <v/>
      </c>
      <c r="N2574" s="6">
        <f>HYPERLINK("http://www.eum.go.kr/web/ar/lu/luLandDet.jsp?pnu=3611035029100300005&amp;isNoScr=script&amp;mode=search", "토지이음")</f>
        <v/>
      </c>
      <c r="O2574" s="3" t="inlineStr">
        <is>
          <t>온뜰</t>
        </is>
      </c>
      <c r="P2574" s="4" t="n">
        <v>1</v>
      </c>
      <c r="Q2574" s="4" t="n">
        <v>499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급경사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송문리 31-1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63900</v>
      </c>
      <c r="G2575" s="4" t="n">
        <v>1408</v>
      </c>
      <c r="H2575" s="4" t="n">
        <v>426</v>
      </c>
      <c r="I2575" s="5" t="n">
        <v>150</v>
      </c>
      <c r="J2575" s="5" t="n">
        <v>63.4</v>
      </c>
      <c r="K2575" s="3" t="inlineStr">
        <is>
          <t>막힘없는 조망권을 자랑하는 남향의 계획관리 급매토지입니다.</t>
        </is>
      </c>
      <c r="L2575" s="6">
        <f>HYPERLINK("https://fin.land.naver.com/articles/2652046487", "매물Link")</f>
        <v/>
      </c>
      <c r="M2575" s="6">
        <f>HYPERLINK("https://map.naver.com/p/search/장군면 송문리 31-1", "지도Link")</f>
        <v/>
      </c>
      <c r="N2575" s="6">
        <f>HYPERLINK("http://www.eum.go.kr/web/ar/lu/luLandDet.jsp?pnu=3611035029100310001&amp;isNoScr=script&amp;mode=search",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1408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사다리형</t>
        </is>
      </c>
      <c r="V2575" s="3" t="inlineStr">
        <is>
          <t>세로한면(가)</t>
        </is>
      </c>
    </row>
    <row r="2576">
      <c r="A2576" s="3" t="inlineStr">
        <is>
          <t>장군면 송문리 31-1</t>
        </is>
      </c>
      <c r="B2576" s="3" t="inlineStr">
        <is>
          <t>계획관리지역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63900</v>
      </c>
      <c r="G2576" s="4" t="n">
        <v>1408</v>
      </c>
      <c r="H2576" s="4" t="n">
        <v>426</v>
      </c>
      <c r="I2576" s="5" t="n">
        <v>150</v>
      </c>
      <c r="J2576" s="5" t="n">
        <v>63.4</v>
      </c>
      <c r="K2576" s="3" t="inlineStr">
        <is>
          <t>포장도로 접한 계획관리지역 답, 최상의 전망, 지인과 공동 매수 추천</t>
        </is>
      </c>
      <c r="L2576" s="6">
        <f>HYPERLINK("https://fin.land.naver.com/articles/2655656034", "매물Link")</f>
        <v/>
      </c>
      <c r="M2576" s="6">
        <f>HYPERLINK("https://map.naver.com/p/search/장군면 송문리 31-1", "지도Link")</f>
        <v/>
      </c>
      <c r="N2576" s="6">
        <f>HYPERLINK("http://www.eum.go.kr/web/ar/lu/luLandDet.jsp?pnu=3611035029100310001&amp;isNoScr=script&amp;mode=search", "토지이음")</f>
        <v/>
      </c>
      <c r="O2576" s="3" t="inlineStr">
        <is>
          <t>온뜰</t>
        </is>
      </c>
      <c r="P2576" s="4" t="n">
        <v>1</v>
      </c>
      <c r="Q2576" s="4" t="n">
        <v>1408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송문리 355</t>
        </is>
      </c>
      <c r="B2577" s="3" t="inlineStr">
        <is>
          <t>보전관리지역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85000</v>
      </c>
      <c r="G2577" s="4" t="n">
        <v>2532</v>
      </c>
      <c r="H2577" s="4" t="n">
        <v>766</v>
      </c>
      <c r="I2577" s="5" t="n">
        <v>111</v>
      </c>
      <c r="J2577" s="5" t="n">
        <v>31.4</v>
      </c>
      <c r="K2577" s="3" t="inlineStr">
        <is>
          <t>조망감이 산정상에서 휴양하는듯</t>
        </is>
      </c>
      <c r="L2577" s="6">
        <f>HYPERLINK("https://fin.land.naver.com/articles/2651964326", "매물Link")</f>
        <v/>
      </c>
      <c r="M2577" s="6">
        <f>HYPERLINK("https://map.naver.com/p/search/장군면 송문리 355", "지도Link")</f>
        <v/>
      </c>
      <c r="N2577" s="6">
        <f>HYPERLINK("http://www.eum.go.kr/web/ar/lu/luLandDet.jsp?pnu=3611035029103550000&amp;isNoScr=script&amp;mode=search", "토지이음")</f>
        <v/>
      </c>
      <c r="O2577" s="3" t="inlineStr">
        <is>
          <t>용궁</t>
        </is>
      </c>
      <c r="P2577" s="4" t="n">
        <v>1</v>
      </c>
      <c r="Q2577" s="4" t="n">
        <v>1974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송문리 355-11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73000</v>
      </c>
      <c r="G2578" s="4" t="n">
        <v>948</v>
      </c>
      <c r="H2578" s="4" t="n">
        <v>287</v>
      </c>
      <c r="I2578" s="5" t="n">
        <v>254.4</v>
      </c>
      <c r="J2578" s="5" t="n">
        <v>80</v>
      </c>
      <c r="K2578" s="3" t="inlineStr">
        <is>
          <t>nan</t>
        </is>
      </c>
      <c r="L2578" s="6">
        <f>HYPERLINK("https://fin.land.naver.com/articles/2653636969", "매물Link")</f>
        <v/>
      </c>
      <c r="M2578" s="6">
        <f>HYPERLINK("https://map.naver.com/p/search/장군면 송문리 355-11", "지도Link")</f>
        <v/>
      </c>
      <c r="N2578" s="6">
        <f>HYPERLINK("http://www.eum.go.kr/web/ar/lu/luLandDet.jsp?pnu=3611035029103550011&amp;isNoScr=script&amp;mode=search",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948</v>
      </c>
      <c r="R2578" s="3" t="inlineStr">
        <is>
          <t>지정되지않음</t>
        </is>
      </c>
      <c r="S2578" s="3" t="inlineStr">
        <is>
          <t>주거나지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세로한면(가)</t>
        </is>
      </c>
    </row>
    <row r="2579">
      <c r="A2579" s="3" t="inlineStr">
        <is>
          <t>장군면 송문리 355-37</t>
        </is>
      </c>
      <c r="B2579" s="3" t="inlineStr">
        <is>
          <t>보전관리지역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21000</v>
      </c>
      <c r="G2579" s="4" t="n">
        <v>579</v>
      </c>
      <c r="H2579" s="4" t="n">
        <v>175</v>
      </c>
      <c r="I2579" s="5" t="n">
        <v>120</v>
      </c>
      <c r="J2579" s="5" t="n">
        <v>21.2</v>
      </c>
      <c r="K2579" s="3" t="inlineStr">
        <is>
          <t>상하수도 전기 통신 가능. 매수해두셨다가 편할 때 주택 지으세요</t>
        </is>
      </c>
      <c r="L2579" s="6">
        <f>HYPERLINK("https://fin.land.naver.com/articles/2652033922", "매물Link")</f>
        <v/>
      </c>
      <c r="M2579" s="6">
        <f>HYPERLINK("https://map.naver.com/p/search/장군면 송문리 355-37", "지도Link")</f>
        <v/>
      </c>
      <c r="N2579" s="6">
        <f>HYPERLINK("http://www.eum.go.kr/web/ar/lu/luLandDet.jsp?pnu=3611035029103550037&amp;isNoScr=script&amp;mode=search",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579</v>
      </c>
      <c r="R2579" s="3" t="inlineStr">
        <is>
          <t>지정되지않음</t>
        </is>
      </c>
      <c r="S2579" s="3" t="inlineStr">
        <is>
          <t>자연림</t>
        </is>
      </c>
      <c r="T2579" s="3" t="inlineStr">
        <is>
          <t>완경사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송문리 365</t>
        </is>
      </c>
      <c r="B2580" s="3" t="inlineStr">
        <is>
          <t>계획관리지역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300000</v>
      </c>
      <c r="G2580" s="4" t="n">
        <v>8547</v>
      </c>
      <c r="H2580" s="4" t="n">
        <v>2585</v>
      </c>
      <c r="I2580" s="5" t="n">
        <v>116.1</v>
      </c>
      <c r="J2580" s="5" t="n">
        <v>41.7</v>
      </c>
      <c r="K2580" s="3" t="inlineStr">
        <is>
          <t>경사도 낮은 임야로 주택지로 좋은 곳입니다.</t>
        </is>
      </c>
      <c r="L2580" s="6">
        <f>HYPERLINK("https://fin.land.naver.com/articles/2652120893", "매물Link")</f>
        <v/>
      </c>
      <c r="M2580" s="6">
        <f>HYPERLINK("https://map.naver.com/p/search/장군면 송문리 365", "지도Link")</f>
        <v/>
      </c>
      <c r="N2580" s="6">
        <f>HYPERLINK("http://www.eum.go.kr/web/ar/lu/luLandDet.jsp?pnu=3611035029103650000&amp;isNoScr=script&amp;mode=search", "토지이음")</f>
        <v/>
      </c>
      <c r="O2580" s="3" t="inlineStr">
        <is>
          <t>미스터홈즈강남지사</t>
        </is>
      </c>
      <c r="P2580" s="4" t="n">
        <v>1</v>
      </c>
      <c r="Q2580" s="4" t="n">
        <v>8547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장군면 송문리 376-1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13000</v>
      </c>
      <c r="G2581" s="4" t="n">
        <v>417</v>
      </c>
      <c r="H2581" s="4" t="n">
        <v>126</v>
      </c>
      <c r="I2581" s="5" t="n">
        <v>103.2</v>
      </c>
      <c r="J2581" s="5" t="n">
        <v>95.2</v>
      </c>
      <c r="K2581" s="3" t="inlineStr">
        <is>
          <t>공시지가로 급매</t>
        </is>
      </c>
      <c r="L2581" s="6">
        <f>HYPERLINK("https://fin.land.naver.com/articles/2653225091", "매물Link")</f>
        <v/>
      </c>
      <c r="M2581" s="6">
        <f>HYPERLINK("https://map.naver.com/p/search/장군면 송문리 376-1", "지도Link")</f>
        <v/>
      </c>
      <c r="N2581" s="6">
        <f>HYPERLINK("http://www.eum.go.kr/web/ar/lu/luLandDet.jsp?pnu=3611035029103760001&amp;isNoScr=script&amp;mode=search", "토지이음")</f>
        <v/>
      </c>
      <c r="O2581" s="3" t="inlineStr">
        <is>
          <t>새땅</t>
        </is>
      </c>
      <c r="P2581" s="4" t="n">
        <v>1</v>
      </c>
      <c r="Q2581" s="4" t="n">
        <v>417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세로각지(가)</t>
        </is>
      </c>
    </row>
    <row r="2582">
      <c r="A2582" s="3" t="inlineStr">
        <is>
          <t>장군면 송문리 377-3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30000</v>
      </c>
      <c r="G2582" s="4" t="n">
        <v>499</v>
      </c>
      <c r="H2582" s="4" t="n">
        <v>151</v>
      </c>
      <c r="I2582" s="5" t="n">
        <v>198.7</v>
      </c>
      <c r="J2582" s="5" t="n">
        <v>100.7</v>
      </c>
      <c r="K2582" s="3" t="inlineStr">
        <is>
          <t>송문리 마을내 구옥있는 토지매매</t>
        </is>
      </c>
      <c r="L2582" s="6">
        <f>HYPERLINK("https://fin.land.naver.com/articles/2652028856", "매물Link")</f>
        <v/>
      </c>
      <c r="M2582" s="6">
        <f>HYPERLINK("https://map.naver.com/p/search/장군면 송문리 377-3", "지도Link")</f>
        <v/>
      </c>
      <c r="N2582" s="6">
        <f>HYPERLINK("http://www.eum.go.kr/web/ar/lu/luLandDet.jsp?pnu=3611035029103770003&amp;isNoScr=script&amp;mode=search", "토지이음")</f>
        <v/>
      </c>
      <c r="O2582" s="3" t="inlineStr">
        <is>
          <t>에이스</t>
        </is>
      </c>
      <c r="P2582" s="4" t="n">
        <v>1</v>
      </c>
      <c r="Q2582" s="4" t="n">
        <v>499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송문리 387-15</t>
        </is>
      </c>
      <c r="B2583" s="3" t="inlineStr">
        <is>
          <t>보전관리지역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22000</v>
      </c>
      <c r="G2583" s="4" t="n">
        <v>419</v>
      </c>
      <c r="H2583" s="4" t="n">
        <v>127</v>
      </c>
      <c r="I2583" s="5" t="n">
        <v>173.2</v>
      </c>
      <c r="J2583" s="5" t="n">
        <v>80</v>
      </c>
      <c r="K2583" s="3" t="inlineStr">
        <is>
          <t>서세종IC 5분거리. 행복도시 근거리 인접 세컨하우스 용 토지.근생가능</t>
        </is>
      </c>
      <c r="L2583" s="6">
        <f>HYPERLINK("https://fin.land.naver.com/articles/2651968522", "매물Link")</f>
        <v/>
      </c>
      <c r="M2583" s="6">
        <f>HYPERLINK("https://map.naver.com/p/search/장군면 송문리 387-15", "지도Link")</f>
        <v/>
      </c>
      <c r="N2583" s="6">
        <f>HYPERLINK("http://www.eum.go.kr/web/ar/lu/luLandDet.jsp?pnu=3611035029103870015&amp;isNoScr=script&amp;mode=search", "토지이음")</f>
        <v/>
      </c>
      <c r="O2583" s="3" t="inlineStr">
        <is>
          <t>세종올리브</t>
        </is>
      </c>
      <c r="P2583" s="4" t="n">
        <v>1</v>
      </c>
      <c r="Q2583" s="4" t="n">
        <v>419</v>
      </c>
      <c r="R2583" s="3" t="inlineStr">
        <is>
          <t>지정되지않음</t>
        </is>
      </c>
      <c r="S2583" s="3" t="inlineStr">
        <is>
          <t>주거나지</t>
        </is>
      </c>
      <c r="T2583" s="3" t="inlineStr">
        <is>
          <t>완경사</t>
        </is>
      </c>
      <c r="U2583" s="3" t="inlineStr">
        <is>
          <t>사다리형</t>
        </is>
      </c>
      <c r="V2583" s="3" t="inlineStr">
        <is>
          <t>세로한면(가)</t>
        </is>
      </c>
    </row>
    <row r="2584">
      <c r="A2584" s="3" t="inlineStr">
        <is>
          <t>장군면 송문리 387-19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대</t>
        </is>
      </c>
      <c r="E2584" s="3" t="inlineStr">
        <is>
          <t>매매</t>
        </is>
      </c>
      <c r="F2584" s="4" t="n">
        <v>22000</v>
      </c>
      <c r="G2584" s="4" t="n">
        <v>296</v>
      </c>
      <c r="H2584" s="4" t="n">
        <v>90</v>
      </c>
      <c r="I2584" s="5" t="n">
        <v>244.4</v>
      </c>
      <c r="J2584" s="5" t="n">
        <v>80</v>
      </c>
      <c r="K2584" s="3" t="inlineStr">
        <is>
          <t>가격조정가.도로접한코너각지.전원주택최적지.송문리마을회관인근.완경사주거나지</t>
        </is>
      </c>
      <c r="L2584" s="6">
        <f>HYPERLINK("https://fin.land.naver.com/articles/2655364669", "매물Link")</f>
        <v/>
      </c>
      <c r="M2584" s="6">
        <f>HYPERLINK("https://map.naver.com/p/search/장군면 송문리 387-19", "지도Link")</f>
        <v/>
      </c>
      <c r="N2584" s="6">
        <f>HYPERLINK("http://www.eum.go.kr/web/ar/lu/luLandDet.jsp?pnu=3611035029103870019&amp;isNoScr=script&amp;mode=search", "토지이음")</f>
        <v/>
      </c>
      <c r="O2584" s="3" t="inlineStr">
        <is>
          <t>돈방석</t>
        </is>
      </c>
      <c r="P2584" s="4" t="n">
        <v>2</v>
      </c>
      <c r="Q2584" s="4" t="n">
        <v>296</v>
      </c>
      <c r="R2584" s="3" t="inlineStr">
        <is>
          <t>지정되지않음</t>
        </is>
      </c>
      <c r="S2584" s="3" t="inlineStr">
        <is>
          <t>주거나지</t>
        </is>
      </c>
      <c r="T2584" s="3" t="inlineStr">
        <is>
          <t>완경사</t>
        </is>
      </c>
      <c r="U2584" s="3" t="inlineStr">
        <is>
          <t>사다리형</t>
        </is>
      </c>
      <c r="V2584" s="3" t="inlineStr">
        <is>
          <t>세로한면(가)</t>
        </is>
      </c>
    </row>
    <row r="2585">
      <c r="A2585" s="3" t="inlineStr">
        <is>
          <t>장군면 송문리 387-19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21000</v>
      </c>
      <c r="G2585" s="4" t="n">
        <v>348</v>
      </c>
      <c r="H2585" s="4" t="n">
        <v>105</v>
      </c>
      <c r="I2585" s="5" t="n">
        <v>200</v>
      </c>
      <c r="J2585" s="5" t="n">
        <v>80</v>
      </c>
      <c r="K2585" s="3" t="inlineStr">
        <is>
          <t>기반시설 완료한 전원주택지 급매추천</t>
        </is>
      </c>
      <c r="L2585" s="6">
        <f>HYPERLINK("https://fin.land.naver.com/articles/2654060108", "매물Link")</f>
        <v/>
      </c>
      <c r="M2585" s="6">
        <f>HYPERLINK("https://map.naver.com/p/search/장군면 송문리 387-19", "지도Link")</f>
        <v/>
      </c>
      <c r="N2585" s="6">
        <f>HYPERLINK("http://www.eum.go.kr/web/ar/lu/luLandDet.jsp?pnu=3611035029103870019&amp;isNoScr=script&amp;mode=search", "토지이음")</f>
        <v/>
      </c>
      <c r="O2585" s="3" t="inlineStr">
        <is>
          <t>세종소담114</t>
        </is>
      </c>
      <c r="P2585" s="4" t="n">
        <v>1</v>
      </c>
      <c r="Q2585" s="4" t="n">
        <v>296</v>
      </c>
      <c r="R2585" s="3" t="inlineStr">
        <is>
          <t>지정되지않음</t>
        </is>
      </c>
      <c r="S2585" s="3" t="inlineStr">
        <is>
          <t>주거나지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세로한면(가)</t>
        </is>
      </c>
    </row>
    <row r="2586">
      <c r="A2586" s="3" t="inlineStr">
        <is>
          <t>장군면 송문리 387-22</t>
        </is>
      </c>
      <c r="B2586" s="3" t="inlineStr">
        <is>
          <t>보전관리지역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20000</v>
      </c>
      <c r="G2586" s="4" t="n">
        <v>473</v>
      </c>
      <c r="H2586" s="4" t="n">
        <v>143</v>
      </c>
      <c r="I2586" s="5" t="n">
        <v>139.9</v>
      </c>
      <c r="J2586" s="5" t="n">
        <v>80</v>
      </c>
      <c r="K2586" s="3" t="inlineStr">
        <is>
          <t>급매, 풍광이 뛰어난 전원주택지, 지목 대, 근생건물 있음</t>
        </is>
      </c>
      <c r="L2586" s="6">
        <f>HYPERLINK("https://fin.land.naver.com/articles/2654546930", "매물Link")</f>
        <v/>
      </c>
      <c r="M2586" s="6">
        <f>HYPERLINK("https://map.naver.com/p/search/장군면 송문리 387-22", "지도Link")</f>
        <v/>
      </c>
      <c r="N2586" s="6">
        <f>HYPERLINK("http://www.eum.go.kr/web/ar/lu/luLandDet.jsp?pnu=3611035029103870022&amp;isNoScr=script&amp;mode=search",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400</v>
      </c>
      <c r="R2586" s="3" t="inlineStr">
        <is>
          <t>지정되지않음</t>
        </is>
      </c>
      <c r="S2586" s="3" t="inlineStr">
        <is>
          <t>주거기타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송문리 387-25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16500</v>
      </c>
      <c r="G2587" s="4" t="n">
        <v>480</v>
      </c>
      <c r="H2587" s="4" t="n">
        <v>145</v>
      </c>
      <c r="I2587" s="5" t="n">
        <v>113.8</v>
      </c>
      <c r="J2587" s="5" t="n">
        <v>20.6</v>
      </c>
      <c r="K2587" s="3" t="inlineStr">
        <is>
          <t>전원주택지 급하게 매도합니다</t>
        </is>
      </c>
      <c r="L2587" s="6">
        <f>HYPERLINK("https://fin.land.naver.com/articles/2652107820", "매물Link")</f>
        <v/>
      </c>
      <c r="M2587" s="6">
        <f>HYPERLINK("https://map.naver.com/p/search/장군면 송문리 387-25", "지도Link")</f>
        <v/>
      </c>
      <c r="N2587" s="6">
        <f>HYPERLINK("http://www.eum.go.kr/web/ar/lu/luLandDet.jsp?pnu=3611035029103870025&amp;isNoScr=script&amp;mode=search",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321</v>
      </c>
      <c r="R2587" s="3" t="inlineStr">
        <is>
          <t>지정되지않음</t>
        </is>
      </c>
      <c r="S2587" s="3" t="inlineStr">
        <is>
          <t>토지임야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송문리 387-30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21000</v>
      </c>
      <c r="G2588" s="4" t="n">
        <v>395</v>
      </c>
      <c r="H2588" s="4" t="n">
        <v>119</v>
      </c>
      <c r="I2588" s="5" t="n">
        <v>176.5</v>
      </c>
      <c r="J2588" s="5" t="n">
        <v>21.2</v>
      </c>
      <c r="K2588" s="3" t="inlineStr">
        <is>
          <t>nan</t>
        </is>
      </c>
      <c r="L2588" s="6">
        <f>HYPERLINK("https://fin.land.naver.com/articles/2651972046", "매물Link")</f>
        <v/>
      </c>
      <c r="M2588" s="6">
        <f>HYPERLINK("https://map.naver.com/p/search/장군면 송문리 387-30", "지도Link")</f>
        <v/>
      </c>
      <c r="N2588" s="6">
        <f>HYPERLINK("http://www.eum.go.kr/web/ar/lu/luLandDet.jsp?pnu=3611035029103870030&amp;isNoScr=script&amp;mode=search", "토지이음")</f>
        <v/>
      </c>
      <c r="O2588" s="3" t="inlineStr">
        <is>
          <t>세종올리브</t>
        </is>
      </c>
      <c r="P2588" s="4" t="n">
        <v>2</v>
      </c>
      <c r="Q2588" s="4" t="n">
        <v>395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송문리 387-30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21000</v>
      </c>
      <c r="G2589" s="4" t="n">
        <v>453</v>
      </c>
      <c r="H2589" s="4" t="n">
        <v>137</v>
      </c>
      <c r="I2589" s="5" t="n">
        <v>153.3</v>
      </c>
      <c r="J2589" s="5" t="n">
        <v>21.2</v>
      </c>
      <c r="K2589" s="3" t="inlineStr">
        <is>
          <t>급매, 전원주택지 남향 맨앞면 코너각지 탁 트인뷰</t>
        </is>
      </c>
      <c r="L2589" s="6">
        <f>HYPERLINK("https://fin.land.naver.com/articles/2654547254", "매물Link")</f>
        <v/>
      </c>
      <c r="M2589" s="6">
        <f>HYPERLINK("https://map.naver.com/p/search/장군면 송문리 387-30", "지도Link")</f>
        <v/>
      </c>
      <c r="N2589" s="6">
        <f>HYPERLINK("http://www.eum.go.kr/web/ar/lu/luLandDet.jsp?pnu=3611035029103870030&amp;isNoScr=script&amp;mode=search",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395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완경사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송문리 387-5</t>
        </is>
      </c>
      <c r="B2590" s="3" t="inlineStr">
        <is>
          <t>보전관리지역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17000</v>
      </c>
      <c r="G2590" s="4" t="n">
        <v>397</v>
      </c>
      <c r="H2590" s="4" t="n">
        <v>120</v>
      </c>
      <c r="I2590" s="5" t="n">
        <v>141.7</v>
      </c>
      <c r="J2590" s="5" t="n">
        <v>80</v>
      </c>
      <c r="K2590" s="3" t="inlineStr">
        <is>
          <t>급매, 지목이 대, 정남향 최고의 전망</t>
        </is>
      </c>
      <c r="L2590" s="6">
        <f>HYPERLINK("https://fin.land.naver.com/articles/2656486654", "매물Link")</f>
        <v/>
      </c>
      <c r="M2590" s="6">
        <f>HYPERLINK("https://map.naver.com/p/search/장군면 송문리 387-5", "지도Link")</f>
        <v/>
      </c>
      <c r="N2590" s="6">
        <f>HYPERLINK("http://www.eum.go.kr/web/ar/lu/luLandDet.jsp?pnu=3611035029103870005&amp;isNoScr=script&amp;mode=search", "토지이음")</f>
        <v/>
      </c>
      <c r="O2590" s="3" t="inlineStr">
        <is>
          <t>온뜰</t>
        </is>
      </c>
      <c r="P2590" s="4" t="n">
        <v>1</v>
      </c>
      <c r="Q2590" s="4" t="n">
        <v>337</v>
      </c>
      <c r="R2590" s="3" t="inlineStr">
        <is>
          <t>지정되지않음</t>
        </is>
      </c>
      <c r="S2590" s="3" t="inlineStr">
        <is>
          <t>주거기타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송문리 40-15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37000</v>
      </c>
      <c r="G2591" s="4" t="n">
        <v>545</v>
      </c>
      <c r="H2591" s="4" t="n">
        <v>165</v>
      </c>
      <c r="I2591" s="5" t="n">
        <v>224.2</v>
      </c>
      <c r="J2591" s="5" t="n">
        <v>82.3</v>
      </c>
      <c r="K2591" s="3" t="inlineStr">
        <is>
          <t>대전,세종,공주에서 가까운거리에 있는 송문리의 택지조성완료된 토지</t>
        </is>
      </c>
      <c r="L2591" s="6">
        <f>HYPERLINK("https://fin.land.naver.com/articles/2654756727", "매물Link")</f>
        <v/>
      </c>
      <c r="M2591" s="6">
        <f>HYPERLINK("https://map.naver.com/p/search/장군면 송문리 40-15", "지도Link")</f>
        <v/>
      </c>
      <c r="N2591" s="6">
        <f>HYPERLINK("http://www.eum.go.kr/web/ar/lu/luLandDet.jsp?pnu=3611035029100400015&amp;isNoScr=script&amp;mode=search", "토지이음")</f>
        <v/>
      </c>
      <c r="O2591" s="3" t="inlineStr">
        <is>
          <t>비타민무소</t>
        </is>
      </c>
      <c r="P2591" s="4" t="n">
        <v>1</v>
      </c>
      <c r="Q2591" s="4" t="n">
        <v>545</v>
      </c>
      <c r="R2591" s="3" t="inlineStr">
        <is>
          <t>지정되지않음</t>
        </is>
      </c>
      <c r="S2591" s="3" t="inlineStr">
        <is>
          <t>주거나지</t>
        </is>
      </c>
      <c r="T2591" s="3" t="inlineStr">
        <is>
          <t>완경사</t>
        </is>
      </c>
      <c r="U2591" s="3" t="inlineStr">
        <is>
          <t>정방형</t>
        </is>
      </c>
      <c r="V2591" s="3" t="inlineStr">
        <is>
          <t>세로한면(가)</t>
        </is>
      </c>
    </row>
    <row r="2592">
      <c r="A2592" s="3" t="inlineStr">
        <is>
          <t>장군면 송문리 40-19</t>
        </is>
      </c>
      <c r="B2592" s="3" t="inlineStr">
        <is>
          <t>보전관리지역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55000</v>
      </c>
      <c r="G2592" s="4" t="n">
        <v>891</v>
      </c>
      <c r="H2592" s="4" t="n">
        <v>270</v>
      </c>
      <c r="I2592" s="5" t="n">
        <v>203.7</v>
      </c>
      <c r="J2592" s="5" t="n">
        <v>82.3</v>
      </c>
      <c r="K2592" s="3" t="inlineStr">
        <is>
          <t>조망권 좋은 전원 주택부지,세종시 근접</t>
        </is>
      </c>
      <c r="L2592" s="6">
        <f>HYPERLINK("https://fin.land.naver.com/articles/2656411633", "매물Link")</f>
        <v/>
      </c>
      <c r="M2592" s="6">
        <f>HYPERLINK("https://map.naver.com/p/search/장군면 송문리 40-19", "지도Link")</f>
        <v/>
      </c>
      <c r="N2592" s="6">
        <f>HYPERLINK("http://www.eum.go.kr/web/ar/lu/luLandDet.jsp?pnu=3611035029100400019&amp;isNoScr=script&amp;mode=search", "토지이음")</f>
        <v/>
      </c>
      <c r="O2592" s="3" t="inlineStr">
        <is>
          <t>담뜰</t>
        </is>
      </c>
      <c r="P2592" s="4" t="n">
        <v>1</v>
      </c>
      <c r="Q2592" s="4" t="n">
        <v>891</v>
      </c>
      <c r="R2592" s="3" t="inlineStr">
        <is>
          <t>지정되지않음</t>
        </is>
      </c>
      <c r="S2592" s="3" t="inlineStr">
        <is>
          <t>주거나지</t>
        </is>
      </c>
      <c r="T2592" s="3" t="inlineStr">
        <is>
          <t>완경사</t>
        </is>
      </c>
      <c r="U2592" s="3" t="inlineStr">
        <is>
          <t>사다리형</t>
        </is>
      </c>
      <c r="V2592" s="3" t="inlineStr">
        <is>
          <t>세로한면(가)</t>
        </is>
      </c>
    </row>
    <row r="2593">
      <c r="A2593" s="3" t="inlineStr">
        <is>
          <t>장군면 송문리 40-31</t>
        </is>
      </c>
      <c r="B2593" s="3" t="inlineStr">
        <is>
          <t>보전관리지역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22000</v>
      </c>
      <c r="G2593" s="4" t="n">
        <v>476</v>
      </c>
      <c r="H2593" s="4" t="n">
        <v>144</v>
      </c>
      <c r="I2593" s="5" t="n">
        <v>152.8</v>
      </c>
      <c r="J2593" s="5" t="n">
        <v>82.3</v>
      </c>
      <c r="K2593" s="3" t="inlineStr">
        <is>
          <t>장군면 송문리  택지개발한 전원주택지 시세보다 저렴한 급매입니다</t>
        </is>
      </c>
      <c r="L2593" s="6">
        <f>HYPERLINK("https://fin.land.naver.com/articles/2654820709", "매물Link")</f>
        <v/>
      </c>
      <c r="M2593" s="6">
        <f>HYPERLINK("https://map.naver.com/p/search/장군면 송문리 40-31", "지도Link")</f>
        <v/>
      </c>
      <c r="N2593" s="6">
        <f>HYPERLINK("http://www.eum.go.kr/web/ar/lu/luLandDet.jsp?pnu=3611035029100400031&amp;isNoScr=script&amp;mode=search",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396</v>
      </c>
      <c r="R2593" s="3" t="inlineStr">
        <is>
          <t>지정되지않음</t>
        </is>
      </c>
      <c r="S2593" s="3" t="inlineStr">
        <is>
          <t>주거나지</t>
        </is>
      </c>
      <c r="T2593" s="3" t="inlineStr">
        <is>
          <t>완경사</t>
        </is>
      </c>
      <c r="U2593" s="3" t="inlineStr">
        <is>
          <t>사다리형</t>
        </is>
      </c>
      <c r="V2593" s="3" t="inlineStr">
        <is>
          <t>세로한면(가)</t>
        </is>
      </c>
    </row>
    <row r="2594">
      <c r="A2594" s="3" t="inlineStr">
        <is>
          <t>장군면 송문리 40-6</t>
        </is>
      </c>
      <c r="B2594" s="3" t="inlineStr">
        <is>
          <t>보전관리지역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30000</v>
      </c>
      <c r="G2594" s="4" t="n">
        <v>547</v>
      </c>
      <c r="H2594" s="4" t="n">
        <v>165</v>
      </c>
      <c r="I2594" s="5" t="n">
        <v>181.8</v>
      </c>
      <c r="J2594" s="5" t="n">
        <v>82.3</v>
      </c>
      <c r="K2594" s="3" t="inlineStr">
        <is>
          <t>nan</t>
        </is>
      </c>
      <c r="L2594" s="6">
        <f>HYPERLINK("https://fin.land.naver.com/articles/2650942974", "매물Link")</f>
        <v/>
      </c>
      <c r="M2594" s="6">
        <f>HYPERLINK("https://map.naver.com/p/search/장군면 송문리 40-6", "지도Link")</f>
        <v/>
      </c>
      <c r="N2594" s="6">
        <f>HYPERLINK("http://www.eum.go.kr/web/ar/lu/luLandDet.jsp?pnu=3611035029100400006&amp;isNoScr=script&amp;mode=search", "토지이음")</f>
        <v/>
      </c>
      <c r="O2594" s="3" t="inlineStr">
        <is>
          <t>고운동리치세종</t>
        </is>
      </c>
      <c r="P2594" s="4" t="n">
        <v>1</v>
      </c>
      <c r="Q2594" s="4" t="n">
        <v>547</v>
      </c>
      <c r="R2594" s="3" t="inlineStr">
        <is>
          <t>지정되지않음</t>
        </is>
      </c>
      <c r="S2594" s="3" t="inlineStr">
        <is>
          <t>주거나지</t>
        </is>
      </c>
      <c r="T2594" s="3" t="inlineStr">
        <is>
          <t>완경사</t>
        </is>
      </c>
      <c r="U2594" s="3" t="inlineStr">
        <is>
          <t>정방형</t>
        </is>
      </c>
      <c r="V2594" s="3" t="inlineStr">
        <is>
          <t>세로한면(가)</t>
        </is>
      </c>
    </row>
    <row r="2595">
      <c r="A2595" s="3" t="inlineStr">
        <is>
          <t>장군면 송문리 422-2</t>
        </is>
      </c>
      <c r="B2595" s="3" t="inlineStr">
        <is>
          <t>보전관리지역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3500</v>
      </c>
      <c r="G2595" s="4" t="n">
        <v>439</v>
      </c>
      <c r="H2595" s="4" t="n">
        <v>133</v>
      </c>
      <c r="I2595" s="5" t="n">
        <v>26.3</v>
      </c>
      <c r="J2595" s="5" t="n">
        <v>14.8</v>
      </c>
      <c r="K2595" s="3" t="inlineStr">
        <is>
          <t>가격저렴한 토임, 투자굿,송문침례교회 인근</t>
        </is>
      </c>
      <c r="L2595" s="6">
        <f>HYPERLINK("https://fin.land.naver.com/articles/2656187079", "매물Link")</f>
        <v/>
      </c>
      <c r="M2595" s="6">
        <f>HYPERLINK("https://map.naver.com/p/search/장군면 송문리 422-2", "지도Link")</f>
        <v/>
      </c>
      <c r="N2595" s="6">
        <f>HYPERLINK("http://www.eum.go.kr/web/ar/lu/luLandDet.jsp?pnu=3611035029104220002&amp;isNoScr=script&amp;mode=search", "토지이음")</f>
        <v/>
      </c>
      <c r="O2595" s="3" t="inlineStr">
        <is>
          <t>모두</t>
        </is>
      </c>
      <c r="P2595" s="4" t="n">
        <v>1</v>
      </c>
      <c r="Q2595" s="4" t="n">
        <v>365</v>
      </c>
      <c r="R2595" s="3" t="inlineStr">
        <is>
          <t>지정되지않음</t>
        </is>
      </c>
      <c r="S2595" s="3" t="inlineStr">
        <is>
          <t>토지임야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맹지</t>
        </is>
      </c>
    </row>
    <row r="2596">
      <c r="A2596" s="3" t="inlineStr">
        <is>
          <t>장군면 송문리 51-2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46000</v>
      </c>
      <c r="G2596" s="4" t="n">
        <v>760</v>
      </c>
      <c r="H2596" s="4" t="n">
        <v>230</v>
      </c>
      <c r="I2596" s="5" t="n">
        <v>200</v>
      </c>
      <c r="J2596" s="5" t="n">
        <v>66.7</v>
      </c>
      <c r="K2596" s="3" t="inlineStr">
        <is>
          <t>계획관리 도로 접한 최고의 명당자리 토지 매도</t>
        </is>
      </c>
      <c r="L2596" s="6">
        <f>HYPERLINK("https://fin.land.naver.com/articles/2656061969", "매물Link")</f>
        <v/>
      </c>
      <c r="M2596" s="6">
        <f>HYPERLINK("https://map.naver.com/p/search/장군면 송문리 51-2", "지도Link")</f>
        <v/>
      </c>
      <c r="N2596" s="6">
        <f>HYPERLINK("http://www.eum.go.kr/web/ar/lu/luLandDet.jsp?pnu=3611035029100510002&amp;isNoScr=script&amp;mode=search", "토지이음")</f>
        <v/>
      </c>
      <c r="O2596" s="3" t="inlineStr">
        <is>
          <t>온뜰</t>
        </is>
      </c>
      <c r="P2596" s="4" t="n">
        <v>1</v>
      </c>
      <c r="Q2596" s="4" t="n">
        <v>700</v>
      </c>
      <c r="R2596" s="3" t="inlineStr">
        <is>
          <t>지정되지않음</t>
        </is>
      </c>
      <c r="S2596" s="3" t="inlineStr">
        <is>
          <t>과수원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세로한면(가)</t>
        </is>
      </c>
    </row>
    <row r="2597">
      <c r="A2597" s="3" t="inlineStr">
        <is>
          <t>장군면 송문리 57-6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38000</v>
      </c>
      <c r="G2597" s="4" t="n">
        <v>701</v>
      </c>
      <c r="H2597" s="4" t="n">
        <v>212</v>
      </c>
      <c r="I2597" s="5" t="n">
        <v>179.2</v>
      </c>
      <c r="J2597" s="5" t="n">
        <v>63.4</v>
      </c>
      <c r="K2597" s="3" t="inlineStr">
        <is>
          <t>계획관리, 주변 풍광이 뛰어나고 전망좋아 전원주택지로 최적, 하우스 포함</t>
        </is>
      </c>
      <c r="L2597" s="6">
        <f>HYPERLINK("https://fin.land.naver.com/articles/2656486094", "매물Link")</f>
        <v/>
      </c>
      <c r="M2597" s="6">
        <f>HYPERLINK("https://map.naver.com/p/search/장군면 송문리 57-6", "지도Link")</f>
        <v/>
      </c>
      <c r="N2597" s="6">
        <f>HYPERLINK("http://www.eum.go.kr/web/ar/lu/luLandDet.jsp?pnu=3611035029100570006&amp;isNoScr=script&amp;mode=search",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701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송문리 61</t>
        </is>
      </c>
      <c r="B2598" s="3" t="inlineStr">
        <is>
          <t>계획관리지역</t>
        </is>
      </c>
      <c r="C2598" s="3" t="inlineStr">
        <is>
          <t>묘지</t>
        </is>
      </c>
      <c r="D2598" s="3" t="inlineStr">
        <is>
          <t>묘지</t>
        </is>
      </c>
      <c r="E2598" s="3" t="inlineStr">
        <is>
          <t>매매</t>
        </is>
      </c>
      <c r="F2598" s="4" t="n">
        <v>21000</v>
      </c>
      <c r="G2598" s="4" t="n">
        <v>331</v>
      </c>
      <c r="H2598" s="4" t="n">
        <v>100</v>
      </c>
      <c r="I2598" s="5" t="n">
        <v>210</v>
      </c>
      <c r="J2598" s="5" t="n">
        <v>66.7</v>
      </c>
      <c r="K2598" s="3" t="inlineStr">
        <is>
          <t>계획관리지역, 배산임수 전망 최상, 금액조율가능</t>
        </is>
      </c>
      <c r="L2598" s="6">
        <f>HYPERLINK("https://fin.land.naver.com/articles/2656061437", "매물Link")</f>
        <v/>
      </c>
      <c r="M2598" s="6">
        <f>HYPERLINK("https://map.naver.com/p/search/장군면 송문리 61", "지도Link")</f>
        <v/>
      </c>
      <c r="N2598" s="6">
        <f>HYPERLINK("http://www.eum.go.kr/web/ar/lu/luLandDet.jsp?pnu=3611035029100610000&amp;isNoScr=script&amp;mode=search", "토지이음")</f>
        <v/>
      </c>
      <c r="O2598" s="3" t="inlineStr">
        <is>
          <t>온뜰</t>
        </is>
      </c>
      <c r="P2598" s="4" t="n">
        <v>2</v>
      </c>
      <c r="Q2598" s="4" t="n">
        <v>331</v>
      </c>
      <c r="R2598" s="3" t="inlineStr">
        <is>
          <t>지정되지않음</t>
        </is>
      </c>
      <c r="S2598" s="3" t="inlineStr">
        <is>
          <t>전기타</t>
        </is>
      </c>
      <c r="T2598" s="3" t="inlineStr">
        <is>
          <t>완경사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송문리 61</t>
        </is>
      </c>
      <c r="B2599" s="3" t="inlineStr">
        <is>
          <t>계획관리지역</t>
        </is>
      </c>
      <c r="C2599" s="3" t="inlineStr">
        <is>
          <t>묘지</t>
        </is>
      </c>
      <c r="D2599" s="3" t="inlineStr">
        <is>
          <t>묘지</t>
        </is>
      </c>
      <c r="E2599" s="3" t="inlineStr">
        <is>
          <t>매매</t>
        </is>
      </c>
      <c r="F2599" s="4" t="n">
        <v>21000</v>
      </c>
      <c r="G2599" s="4" t="n">
        <v>331</v>
      </c>
      <c r="H2599" s="4" t="n">
        <v>100</v>
      </c>
      <c r="I2599" s="5" t="n">
        <v>210</v>
      </c>
      <c r="J2599" s="5" t="n">
        <v>66.7</v>
      </c>
      <c r="K2599" s="3" t="inlineStr">
        <is>
          <t>도로접 계획관리,지대가 높아 대교천 조망권 뷰,가격조정가능</t>
        </is>
      </c>
      <c r="L2599" s="6">
        <f>HYPERLINK("https://fin.land.naver.com/articles/2656009235", "매물Link")</f>
        <v/>
      </c>
      <c r="M2599" s="6">
        <f>HYPERLINK("https://map.naver.com/p/search/장군면 송문리 61", "지도Link")</f>
        <v/>
      </c>
      <c r="N2599" s="6">
        <f>HYPERLINK("http://www.eum.go.kr/web/ar/lu/luLandDet.jsp?pnu=3611035029100610000&amp;isNoScr=script&amp;mode=search", "토지이음")</f>
        <v/>
      </c>
      <c r="O2599" s="3" t="inlineStr">
        <is>
          <t>고운맘</t>
        </is>
      </c>
      <c r="P2599" s="4" t="n">
        <v>1</v>
      </c>
      <c r="Q2599" s="4" t="n">
        <v>331</v>
      </c>
      <c r="R2599" s="3" t="inlineStr">
        <is>
          <t>지정되지않음</t>
        </is>
      </c>
      <c r="S2599" s="3" t="inlineStr">
        <is>
          <t>전기타</t>
        </is>
      </c>
      <c r="T2599" s="3" t="inlineStr">
        <is>
          <t>완경사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송문리 624-1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64000</v>
      </c>
      <c r="G2600" s="4" t="n">
        <v>3880</v>
      </c>
      <c r="H2600" s="4" t="n">
        <v>1174</v>
      </c>
      <c r="I2600" s="5" t="n">
        <v>54.5</v>
      </c>
      <c r="J2600" s="5" t="n">
        <v>26.2</v>
      </c>
      <c r="K2600" s="3" t="inlineStr">
        <is>
          <t>농림지역 농업진흥구역 도로접 투자용 농경지</t>
        </is>
      </c>
      <c r="L2600" s="6">
        <f>HYPERLINK("https://fin.land.naver.com/articles/2652733681", "매물Link")</f>
        <v/>
      </c>
      <c r="M2600" s="6">
        <f>HYPERLINK("https://map.naver.com/p/search/장군면 송문리 624-1", "지도Link")</f>
        <v/>
      </c>
      <c r="N2600" s="6">
        <f>HYPERLINK("http://www.eum.go.kr/web/ar/lu/luLandDet.jsp?pnu=3611035029106240001&amp;isNoScr=script&amp;mode=search", "토지이음")</f>
        <v/>
      </c>
      <c r="O2600" s="3" t="inlineStr">
        <is>
          <t>세종이룸</t>
        </is>
      </c>
      <c r="P2600" s="4" t="n">
        <v>1</v>
      </c>
      <c r="Q2600" s="4" t="n">
        <v>3880.9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송문리 626-4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135800</v>
      </c>
      <c r="G2601" s="4" t="n">
        <v>4488</v>
      </c>
      <c r="H2601" s="4" t="n">
        <v>1358</v>
      </c>
      <c r="I2601" s="5" t="n">
        <v>100</v>
      </c>
      <c r="J2601" s="5" t="n">
        <v>32.9</v>
      </c>
      <c r="K2601" s="3" t="inlineStr">
        <is>
          <t>nan</t>
        </is>
      </c>
      <c r="L2601" s="6">
        <f>HYPERLINK("https://fin.land.naver.com/articles/2652727550", "매물Link")</f>
        <v/>
      </c>
      <c r="M2601" s="6">
        <f>HYPERLINK("https://map.naver.com/p/search/장군면 송문리 626-4", "지도Link")</f>
        <v/>
      </c>
      <c r="N2601" s="6">
        <f>HYPERLINK("http://www.eum.go.kr/web/ar/lu/luLandDet.jsp?pnu=3611035029106260004&amp;isNoScr=script&amp;mode=search", "토지이음")</f>
        <v/>
      </c>
      <c r="O2601" s="3" t="inlineStr">
        <is>
          <t>대박</t>
        </is>
      </c>
      <c r="P2601" s="4" t="n">
        <v>1</v>
      </c>
      <c r="Q2601" s="4" t="n">
        <v>4488.7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송문리 631-2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27000</v>
      </c>
      <c r="G2602" s="4" t="n">
        <v>2004</v>
      </c>
      <c r="H2602" s="4" t="n">
        <v>606</v>
      </c>
      <c r="I2602" s="5" t="n">
        <v>44.6</v>
      </c>
      <c r="J2602" s="5" t="n">
        <v>32.6</v>
      </c>
      <c r="K2602" s="3" t="inlineStr">
        <is>
          <t>급매, 저렴 대토용, 마을에 인접, 1Km 인근에 골프장 건설 예정</t>
        </is>
      </c>
      <c r="L2602" s="6">
        <f>HYPERLINK("https://fin.land.naver.com/articles/2654546684", "매물Link")</f>
        <v/>
      </c>
      <c r="M2602" s="6">
        <f>HYPERLINK("https://map.naver.com/p/search/장군면 송문리 631-2", "지도Link")</f>
        <v/>
      </c>
      <c r="N2602" s="6">
        <f>HYPERLINK("http://www.eum.go.kr/web/ar/lu/luLandDet.jsp?pnu=3611035029106310002&amp;isNoScr=script&amp;mode=search",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2004.5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세로한면(가)</t>
        </is>
      </c>
    </row>
    <row r="2603">
      <c r="A2603" s="3" t="inlineStr">
        <is>
          <t>장군면 송문리 638-2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65200</v>
      </c>
      <c r="G2603" s="4" t="n">
        <v>3317</v>
      </c>
      <c r="H2603" s="4" t="n">
        <v>1003</v>
      </c>
      <c r="I2603" s="5" t="n">
        <v>65</v>
      </c>
      <c r="J2603" s="5" t="n">
        <v>31.4</v>
      </c>
      <c r="K2603" s="3" t="inlineStr">
        <is>
          <t>대토추천, 서울세종고속도로 인근</t>
        </is>
      </c>
      <c r="L2603" s="6">
        <f>HYPERLINK("https://fin.land.naver.com/articles/2652122943", "매물Link")</f>
        <v/>
      </c>
      <c r="M2603" s="6">
        <f>HYPERLINK("https://map.naver.com/p/search/장군면 송문리 638-2", "지도Link")</f>
        <v/>
      </c>
      <c r="N2603" s="6">
        <f>HYPERLINK("http://www.eum.go.kr/web/ar/lu/luLandDet.jsp?pnu=3611035029106380002&amp;isNoScr=script&amp;mode=search", "토지이음")</f>
        <v/>
      </c>
      <c r="O2603" s="3" t="inlineStr">
        <is>
          <t>미스터홈즈강남지사</t>
        </is>
      </c>
      <c r="P2603" s="4" t="n">
        <v>1</v>
      </c>
      <c r="Q2603" s="4" t="n">
        <v>3317.7</v>
      </c>
      <c r="R2603" s="3" t="inlineStr">
        <is>
          <t>계획관리지역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세로장방</t>
        </is>
      </c>
      <c r="V2603" s="3" t="inlineStr">
        <is>
          <t>세로각지(가)</t>
        </is>
      </c>
    </row>
    <row r="2604">
      <c r="A2604" s="3" t="inlineStr">
        <is>
          <t>장군면 송문리 638-8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41000</v>
      </c>
      <c r="G2604" s="4" t="n">
        <v>2213</v>
      </c>
      <c r="H2604" s="4" t="n">
        <v>669</v>
      </c>
      <c r="I2604" s="5" t="n">
        <v>61.3</v>
      </c>
      <c r="J2604" s="5" t="n">
        <v>31</v>
      </c>
      <c r="K2604" s="3" t="inlineStr">
        <is>
          <t>농업 활용도 최상의 매물,주말 농장,농지필요한 농업인,장기투자용으로 추천</t>
        </is>
      </c>
      <c r="L2604" s="6">
        <f>HYPERLINK("https://fin.land.naver.com/articles/2654533166", "매물Link")</f>
        <v/>
      </c>
      <c r="M2604" s="6">
        <f>HYPERLINK("https://map.naver.com/p/search/장군면 송문리 638-8", "지도Link")</f>
        <v/>
      </c>
      <c r="N2604" s="6">
        <f>HYPERLINK("http://www.eum.go.kr/web/ar/lu/luLandDet.jsp?pnu=3611035029106380008&amp;isNoScr=script&amp;mode=search", "토지이음")</f>
        <v/>
      </c>
      <c r="O2604" s="3" t="inlineStr">
        <is>
          <t>짱</t>
        </is>
      </c>
      <c r="P2604" s="4" t="n">
        <v>1</v>
      </c>
      <c r="Q2604" s="4" t="n">
        <v>2213.8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세로장방</t>
        </is>
      </c>
      <c r="V2604" s="3" t="inlineStr">
        <is>
          <t>세로한면(가)</t>
        </is>
      </c>
    </row>
    <row r="2605">
      <c r="A2605" s="3" t="inlineStr">
        <is>
          <t>장군면 송문리 643-6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2390</v>
      </c>
      <c r="H2605" s="4" t="n">
        <v>723</v>
      </c>
      <c r="I2605" s="5" t="n">
        <v>52.6</v>
      </c>
      <c r="J2605" s="5" t="n">
        <v>32.6</v>
      </c>
      <c r="K2605" s="3" t="inlineStr">
        <is>
          <t>마을 6m도로 접하여 접근성 좋고 신도시 10분 가까운 거리 저렴 농지</t>
        </is>
      </c>
      <c r="L2605" s="6">
        <f>HYPERLINK("https://fin.land.naver.com/articles/2656635901", "매물Link")</f>
        <v/>
      </c>
      <c r="M2605" s="6">
        <f>HYPERLINK("https://map.naver.com/p/search/장군면 송문리 643-6", "지도Link")</f>
        <v/>
      </c>
      <c r="N2605" s="6">
        <f>HYPERLINK("http://www.eum.go.kr/web/ar/lu/luLandDet.jsp?pnu=3611035029106430006&amp;isNoScr=script&amp;mode=search",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2390.4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송문리 649-1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전</t>
        </is>
      </c>
      <c r="E2606" s="3" t="inlineStr">
        <is>
          <t>매매</t>
        </is>
      </c>
      <c r="F2606" s="4" t="n">
        <v>25750</v>
      </c>
      <c r="G2606" s="4" t="n">
        <v>1702</v>
      </c>
      <c r="H2606" s="4" t="n">
        <v>515</v>
      </c>
      <c r="I2606" s="5" t="n">
        <v>50</v>
      </c>
      <c r="J2606" s="5" t="n">
        <v>31</v>
      </c>
      <c r="K2606" s="3" t="inlineStr">
        <is>
          <t>소규모 농지 소액투자</t>
        </is>
      </c>
      <c r="L2606" s="6">
        <f>HYPERLINK("https://fin.land.naver.com/articles/2652731478", "매물Link")</f>
        <v/>
      </c>
      <c r="M2606" s="6">
        <f>HYPERLINK("https://map.naver.com/p/search/장군면 송문리 649-1", "지도Link")</f>
        <v/>
      </c>
      <c r="N2606" s="6">
        <f>HYPERLINK("http://www.eum.go.kr/web/ar/lu/luLandDet.jsp?pnu=3611035029106490001&amp;isNoScr=script&amp;mode=search", "토지이음")</f>
        <v/>
      </c>
      <c r="O2606" s="3" t="inlineStr">
        <is>
          <t>대박</t>
        </is>
      </c>
      <c r="P2606" s="4" t="n">
        <v>2</v>
      </c>
      <c r="Q2606" s="4" t="n">
        <v>1702.5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송문리 654-12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100000</v>
      </c>
      <c r="G2607" s="4" t="n">
        <v>4992</v>
      </c>
      <c r="H2607" s="4" t="n">
        <v>1510</v>
      </c>
      <c r="I2607" s="5" t="n">
        <v>66.2</v>
      </c>
      <c r="J2607" s="5" t="n">
        <v>29.4</v>
      </c>
      <c r="K2607" s="3" t="inlineStr">
        <is>
          <t>nan</t>
        </is>
      </c>
      <c r="L2607" s="6">
        <f>HYPERLINK("https://fin.land.naver.com/articles/2656222463", "매물Link")</f>
        <v/>
      </c>
      <c r="M2607" s="6">
        <f>HYPERLINK("https://map.naver.com/p/search/장군면 송문리 654-12", "지도Link")</f>
        <v/>
      </c>
      <c r="N2607" s="6">
        <f>HYPERLINK("http://www.eum.go.kr/web/ar/lu/luLandDet.jsp?pnu=3611035029106540012&amp;isNoScr=script&amp;mode=search", "토지이음")</f>
        <v/>
      </c>
      <c r="O2607" s="3" t="inlineStr">
        <is>
          <t>고운동리치세종</t>
        </is>
      </c>
      <c r="P2607" s="4" t="n">
        <v>1</v>
      </c>
      <c r="Q2607" s="4" t="n">
        <v>832.5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송문리 662-3</t>
        </is>
      </c>
      <c r="B2608" s="3" t="inlineStr">
        <is>
          <t>농림지역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50000</v>
      </c>
      <c r="G2608" s="4" t="n">
        <v>2053</v>
      </c>
      <c r="H2608" s="4" t="n">
        <v>621</v>
      </c>
      <c r="I2608" s="5" t="n">
        <v>80.5</v>
      </c>
      <c r="J2608" s="5" t="n">
        <v>34.1</v>
      </c>
      <c r="K2608" s="3" t="inlineStr">
        <is>
          <t>송문리 농림지역 토지매매</t>
        </is>
      </c>
      <c r="L2608" s="6">
        <f>HYPERLINK("https://fin.land.naver.com/articles/2652875896", "매물Link")</f>
        <v/>
      </c>
      <c r="M2608" s="6">
        <f>HYPERLINK("https://map.naver.com/p/search/장군면 송문리 662-3", "지도Link")</f>
        <v/>
      </c>
      <c r="N2608" s="6">
        <f>HYPERLINK("http://www.eum.go.kr/web/ar/lu/luLandDet.jsp?pnu=3611035029106620003&amp;isNoScr=script&amp;mode=search", "토지이음")</f>
        <v/>
      </c>
      <c r="O2608" s="3" t="inlineStr">
        <is>
          <t>에이스</t>
        </is>
      </c>
      <c r="P2608" s="4" t="n">
        <v>1</v>
      </c>
      <c r="Q2608" s="4" t="n">
        <v>2053.1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송문리 70-4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36200</v>
      </c>
      <c r="G2609" s="4" t="n">
        <v>598</v>
      </c>
      <c r="H2609" s="4" t="n">
        <v>181</v>
      </c>
      <c r="I2609" s="5" t="n">
        <v>200</v>
      </c>
      <c r="J2609" s="5" t="n">
        <v>93.3</v>
      </c>
      <c r="K2609" s="3" t="inlineStr">
        <is>
          <t>송문리 문성1길 마을초입, 계획관리지역 지목 대, 구옥 있음</t>
        </is>
      </c>
      <c r="L2609" s="6">
        <f>HYPERLINK("https://fin.land.naver.com/articles/2656061714", "매물Link")</f>
        <v/>
      </c>
      <c r="M2609" s="6">
        <f>HYPERLINK("https://map.naver.com/p/search/장군면 송문리 70-4", "지도Link")</f>
        <v/>
      </c>
      <c r="N2609" s="6">
        <f>HYPERLINK("http://www.eum.go.kr/web/ar/lu/luLandDet.jsp?pnu=3611035029100700004&amp;isNoScr=script&amp;mode=search", "토지이음")</f>
        <v/>
      </c>
      <c r="O2609" s="3" t="inlineStr">
        <is>
          <t>온뜰</t>
        </is>
      </c>
      <c r="P2609" s="4" t="n">
        <v>1</v>
      </c>
      <c r="Q2609" s="4" t="n">
        <v>258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송문리 86-2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136800</v>
      </c>
      <c r="G2610" s="4" t="n">
        <v>2261</v>
      </c>
      <c r="H2610" s="4" t="n">
        <v>684</v>
      </c>
      <c r="I2610" s="5" t="n">
        <v>200</v>
      </c>
      <c r="J2610" s="5" t="n">
        <v>64.7</v>
      </c>
      <c r="K2610" s="3" t="inlineStr">
        <is>
          <t>계획관리지역 토지매매</t>
        </is>
      </c>
      <c r="L2610" s="6">
        <f>HYPERLINK("https://fin.land.naver.com/articles/2652042116", "매물Link")</f>
        <v/>
      </c>
      <c r="M2610" s="6">
        <f>HYPERLINK("https://map.naver.com/p/search/장군면 송문리 86-2", "지도Link")</f>
        <v/>
      </c>
      <c r="N2610" s="6">
        <f>HYPERLINK("http://www.eum.go.kr/web/ar/lu/luLandDet.jsp?pnu=3611035029100860002&amp;isNoScr=script&amp;mode=search", "토지이음")</f>
        <v/>
      </c>
      <c r="O2610" s="3" t="inlineStr">
        <is>
          <t>에이스</t>
        </is>
      </c>
      <c r="P2610" s="4" t="n">
        <v>1</v>
      </c>
      <c r="Q2610" s="4" t="n">
        <v>2261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송문리 산17-9</t>
        </is>
      </c>
      <c r="B2611" s="3" t="inlineStr">
        <is>
          <t>보전관리지역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507500</v>
      </c>
      <c r="G2611" s="4" t="n">
        <v>23966</v>
      </c>
      <c r="H2611" s="4" t="n">
        <v>7250</v>
      </c>
      <c r="I2611" s="5" t="n">
        <v>70</v>
      </c>
      <c r="J2611" s="5" t="n">
        <v>17.5</v>
      </c>
      <c r="K2611" s="3" t="inlineStr">
        <is>
          <t>인근 고속도로 개통예정 창고부지</t>
        </is>
      </c>
      <c r="L2611" s="6">
        <f>HYPERLINK("https://fin.land.naver.com/articles/2656172162", "매물Link")</f>
        <v/>
      </c>
      <c r="M2611" s="6">
        <f>HYPERLINK("https://map.naver.com/p/search/장군면 송문리 산17-9", "지도Link")</f>
        <v/>
      </c>
      <c r="N2611" s="6">
        <f>HYPERLINK("http://www.eum.go.kr/web/ar/lu/luLandDet.jsp?pnu=3611035029200170009&amp;isNoScr=script&amp;mode=search", "토지이음")</f>
        <v/>
      </c>
      <c r="O2611" s="3" t="inlineStr">
        <is>
          <t>뉴다원에셋 주식회사</t>
        </is>
      </c>
      <c r="P2611" s="4" t="n">
        <v>1</v>
      </c>
      <c r="Q2611" s="4" t="n">
        <v>23415</v>
      </c>
      <c r="R2611" s="3" t="inlineStr">
        <is>
          <t>지정되지않음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장군면 송정리 556-4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200000</v>
      </c>
      <c r="G2612" s="4" t="n">
        <v>6646</v>
      </c>
      <c r="H2612" s="4" t="n">
        <v>2010</v>
      </c>
      <c r="I2612" s="5" t="n">
        <v>99.5</v>
      </c>
      <c r="J2612" s="5" t="n">
        <v>37.5</v>
      </c>
      <c r="K2612" s="3" t="inlineStr">
        <is>
          <t>nan</t>
        </is>
      </c>
      <c r="L2612" s="6">
        <f>HYPERLINK("https://fin.land.naver.com/articles/2656317678", "매물Link")</f>
        <v/>
      </c>
      <c r="M2612" s="6">
        <f>HYPERLINK("https://map.naver.com/p/search/장군면 송정리 556-4", "지도Link")</f>
        <v/>
      </c>
      <c r="N2612" s="6">
        <f>HYPERLINK("http://www.eum.go.kr/web/ar/lu/luLandDet.jsp?pnu=3611035030105560004&amp;isNoScr=script&amp;mode=search", "토지이음")</f>
        <v/>
      </c>
      <c r="O2612" s="3" t="inlineStr">
        <is>
          <t>다온</t>
        </is>
      </c>
      <c r="P2612" s="4" t="n">
        <v>1</v>
      </c>
      <c r="Q2612" s="4" t="n">
        <v>3375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장군면 송정리 556-5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210000</v>
      </c>
      <c r="G2613" s="4" t="n">
        <v>6646</v>
      </c>
      <c r="H2613" s="4" t="n">
        <v>2010</v>
      </c>
      <c r="I2613" s="5" t="n">
        <v>104.5</v>
      </c>
      <c r="J2613" s="5" t="n">
        <v>37.5</v>
      </c>
      <c r="K2613" s="3" t="inlineStr">
        <is>
          <t>정부청사에서10분 계획관리지역</t>
        </is>
      </c>
      <c r="L2613" s="6">
        <f>HYPERLINK("https://fin.land.naver.com/articles/2655763889", "매물Link")</f>
        <v/>
      </c>
      <c r="M2613" s="6">
        <f>HYPERLINK("https://map.naver.com/p/search/장군면 송정리 556-5", "지도Link")</f>
        <v/>
      </c>
      <c r="N2613" s="6">
        <f>HYPERLINK("http://www.eum.go.kr/web/ar/lu/luLandDet.jsp?pnu=3611035030105560005&amp;isNoScr=script&amp;mode=search",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3018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송정리 556-5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210000</v>
      </c>
      <c r="G2614" s="4" t="n">
        <v>6646</v>
      </c>
      <c r="H2614" s="4" t="n">
        <v>2010</v>
      </c>
      <c r="I2614" s="5" t="n">
        <v>104.5</v>
      </c>
      <c r="J2614" s="5" t="n">
        <v>37.5</v>
      </c>
      <c r="K2614" s="3" t="inlineStr">
        <is>
          <t>세세종IC 5분거리 계획관리지역</t>
        </is>
      </c>
      <c r="L2614" s="6">
        <f>HYPERLINK("https://fin.land.naver.com/articles/2651149402", "매물Link")</f>
        <v/>
      </c>
      <c r="M2614" s="6">
        <f>HYPERLINK("https://map.naver.com/p/search/장군면 송정리 556-5", "지도Link")</f>
        <v/>
      </c>
      <c r="N2614" s="6">
        <f>HYPERLINK("http://www.eum.go.kr/web/ar/lu/luLandDet.jsp?pnu=3611035030105560005&amp;isNoScr=script&amp;mode=search", "토지이음")</f>
        <v/>
      </c>
      <c r="O2614" s="3" t="inlineStr">
        <is>
          <t>해온</t>
        </is>
      </c>
      <c r="P2614" s="4" t="n">
        <v>1</v>
      </c>
      <c r="Q2614" s="4" t="n">
        <v>3018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송정리 556-5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200000</v>
      </c>
      <c r="G2615" s="4" t="n">
        <v>3018</v>
      </c>
      <c r="H2615" s="4" t="n">
        <v>913</v>
      </c>
      <c r="I2615" s="5" t="n">
        <v>219.1</v>
      </c>
      <c r="J2615" s="5" t="n">
        <v>37.5</v>
      </c>
      <c r="K2615" s="3" t="inlineStr">
        <is>
          <t>계획관리지역 토지매매</t>
        </is>
      </c>
      <c r="L2615" s="6">
        <f>HYPERLINK("https://fin.land.naver.com/articles/2652873325", "매물Link")</f>
        <v/>
      </c>
      <c r="M2615" s="6">
        <f>HYPERLINK("https://map.naver.com/p/search/장군면 송정리 556-5", "지도Link")</f>
        <v/>
      </c>
      <c r="N2615" s="6">
        <f>HYPERLINK("http://www.eum.go.kr/web/ar/lu/luLandDet.jsp?pnu=3611035030105560005&amp;isNoScr=script&amp;mode=search", "토지이음")</f>
        <v/>
      </c>
      <c r="O2615" s="3" t="inlineStr">
        <is>
          <t>에이스</t>
        </is>
      </c>
      <c r="P2615" s="4" t="n">
        <v>1</v>
      </c>
      <c r="Q2615" s="4" t="n">
        <v>3018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송정리 580-2</t>
        </is>
      </c>
      <c r="B2616" s="3" t="inlineStr">
        <is>
          <t>보전관리지역</t>
        </is>
      </c>
      <c r="C2616" s="3" t="inlineStr">
        <is>
          <t>임야</t>
        </is>
      </c>
      <c r="D2616" s="3" t="inlineStr">
        <is>
          <t>임야</t>
        </is>
      </c>
      <c r="E2616" s="3" t="inlineStr">
        <is>
          <t>매매</t>
        </is>
      </c>
      <c r="F2616" s="4" t="n">
        <v>96000</v>
      </c>
      <c r="G2616" s="4" t="n">
        <v>4541</v>
      </c>
      <c r="H2616" s="4" t="n">
        <v>1374</v>
      </c>
      <c r="I2616" s="5" t="n">
        <v>69.90000000000001</v>
      </c>
      <c r="J2616" s="5" t="n">
        <v>14.5</v>
      </c>
      <c r="K2616" s="3" t="inlineStr">
        <is>
          <t>2. 송정리. 전원 주택 단지로 개발하기 좋은 자리</t>
        </is>
      </c>
      <c r="L2616" s="6">
        <f>HYPERLINK("https://fin.land.naver.com/articles/2652713775", "매물Link")</f>
        <v/>
      </c>
      <c r="M2616" s="6">
        <f>HYPERLINK("https://map.naver.com/p/search/장군면 송정리 580-2", "지도Link")</f>
        <v/>
      </c>
      <c r="N2616" s="6">
        <f>HYPERLINK("http://www.eum.go.kr/web/ar/lu/luLandDet.jsp?pnu=3611035030105800002&amp;isNoScr=script&amp;mode=search", "토지이음")</f>
        <v/>
      </c>
      <c r="O2616" s="3" t="inlineStr">
        <is>
          <t>내동굿모닝</t>
        </is>
      </c>
      <c r="P2616" s="4" t="n">
        <v>1</v>
      </c>
      <c r="Q2616" s="4" t="n">
        <v>4541</v>
      </c>
      <c r="R2616" s="3" t="inlineStr">
        <is>
          <t>지정되지않음</t>
        </is>
      </c>
      <c r="S2616" s="3" t="inlineStr">
        <is>
          <t>자연림</t>
        </is>
      </c>
      <c r="T2616" s="3" t="inlineStr">
        <is>
          <t>완경사</t>
        </is>
      </c>
      <c r="U2616" s="3" t="inlineStr">
        <is>
          <t>사다리형</t>
        </is>
      </c>
      <c r="V2616" s="3" t="inlineStr">
        <is>
          <t>세로한면(불)</t>
        </is>
      </c>
    </row>
    <row r="2617">
      <c r="A2617" s="3" t="inlineStr">
        <is>
          <t>장군면 송정리 582-1</t>
        </is>
      </c>
      <c r="B2617" s="3" t="inlineStr">
        <is>
          <t>계획관리지역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35000</v>
      </c>
      <c r="G2617" s="4" t="n">
        <v>714</v>
      </c>
      <c r="H2617" s="4" t="n">
        <v>216</v>
      </c>
      <c r="I2617" s="5" t="n">
        <v>162</v>
      </c>
      <c r="J2617" s="5" t="n">
        <v>19.6</v>
      </c>
      <c r="K2617" s="3" t="inlineStr">
        <is>
          <t>세종시 20분거리, 풍경 좋은 전원 주택, 쉼터, 주말농장 등</t>
        </is>
      </c>
      <c r="L2617" s="6">
        <f>HYPERLINK("https://fin.land.naver.com/articles/2653176854", "매물Link")</f>
        <v/>
      </c>
      <c r="M2617" s="6">
        <f>HYPERLINK("https://map.naver.com/p/search/장군면 송정리 582-1", "지도Link")</f>
        <v/>
      </c>
      <c r="N2617" s="6">
        <f>HYPERLINK("http://www.eum.go.kr/web/ar/lu/luLandDet.jsp?pnu=3611035030105820001&amp;isNoScr=script&amp;mode=search", "토지이음")</f>
        <v/>
      </c>
      <c r="O2617" s="3" t="inlineStr">
        <is>
          <t>상상</t>
        </is>
      </c>
      <c r="P2617" s="4" t="n">
        <v>1</v>
      </c>
      <c r="Q2617" s="4" t="n">
        <v>714</v>
      </c>
      <c r="R2617" s="3" t="inlineStr">
        <is>
          <t>지정되지않음</t>
        </is>
      </c>
      <c r="S2617" s="3" t="inlineStr">
        <is>
          <t>토지임야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송정리 638-9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40000</v>
      </c>
      <c r="G2618" s="4" t="n">
        <v>1471</v>
      </c>
      <c r="H2618" s="4" t="n">
        <v>445</v>
      </c>
      <c r="I2618" s="5" t="n">
        <v>89.90000000000001</v>
      </c>
      <c r="J2618" s="5" t="n">
        <v>32.4</v>
      </c>
      <c r="K2618" s="3" t="inlineStr">
        <is>
          <t>3면이 국유도로에 물려있는 예쁜 토지매매</t>
        </is>
      </c>
      <c r="L2618" s="6">
        <f>HYPERLINK("https://fin.land.naver.com/articles/2652874610", "매물Link")</f>
        <v/>
      </c>
      <c r="M2618" s="6">
        <f>HYPERLINK("https://map.naver.com/p/search/장군면 송정리 638-9", "지도Link")</f>
        <v/>
      </c>
      <c r="N2618" s="6">
        <f>HYPERLINK("http://www.eum.go.kr/web/ar/lu/luLandDet.jsp?pnu=3611035030106380009&amp;isNoScr=script&amp;mode=search", "토지이음")</f>
        <v/>
      </c>
      <c r="O2618" s="3" t="inlineStr">
        <is>
          <t>에이스</t>
        </is>
      </c>
      <c r="P2618" s="4" t="n">
        <v>1</v>
      </c>
      <c r="Q2618" s="4" t="n">
        <v>1471.8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세로각지(가)</t>
        </is>
      </c>
    </row>
    <row r="2619">
      <c r="A2619" s="3" t="inlineStr">
        <is>
          <t>장군면 송정리 640-3</t>
        </is>
      </c>
      <c r="B2619" s="3" t="inlineStr">
        <is>
          <t>생산관리지역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22000</v>
      </c>
      <c r="G2619" s="4" t="n">
        <v>1005</v>
      </c>
      <c r="H2619" s="4" t="n">
        <v>304</v>
      </c>
      <c r="I2619" s="5" t="n">
        <v>72.40000000000001</v>
      </c>
      <c r="J2619" s="5" t="n">
        <v>29.7</v>
      </c>
      <c r="K2619" s="3" t="inlineStr">
        <is>
          <t>송정리 생산관리지역 토지매매</t>
        </is>
      </c>
      <c r="L2619" s="6">
        <f>HYPERLINK("https://fin.land.naver.com/articles/2652884761", "매물Link")</f>
        <v/>
      </c>
      <c r="M2619" s="6">
        <f>HYPERLINK("https://map.naver.com/p/search/장군면 송정리 640-3", "지도Link")</f>
        <v/>
      </c>
      <c r="N2619" s="6">
        <f>HYPERLINK("http://www.eum.go.kr/web/ar/lu/luLandDet.jsp?pnu=3611035030106400003&amp;isNoScr=script&amp;mode=search", "토지이음")</f>
        <v/>
      </c>
      <c r="O2619" s="3" t="inlineStr">
        <is>
          <t>에이스</t>
        </is>
      </c>
      <c r="P2619" s="4" t="n">
        <v>1</v>
      </c>
      <c r="Q2619" s="4" t="n">
        <v>1005.2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송정리 산24-22</t>
        </is>
      </c>
      <c r="B2620" s="3" t="inlineStr">
        <is>
          <t>보전관리지역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392000</v>
      </c>
      <c r="G2620" s="4" t="n">
        <v>28805</v>
      </c>
      <c r="H2620" s="4" t="n">
        <v>8714</v>
      </c>
      <c r="I2620" s="5" t="n">
        <v>45</v>
      </c>
      <c r="J2620" s="5" t="n">
        <v>12.7</v>
      </c>
      <c r="K2620" s="3" t="inlineStr">
        <is>
          <t>투자가치 최상 넓은면적 저렴한 토지 매매</t>
        </is>
      </c>
      <c r="L2620" s="6">
        <f>HYPERLINK("https://fin.land.naver.com/articles/2652667883", "매물Link")</f>
        <v/>
      </c>
      <c r="M2620" s="6">
        <f>HYPERLINK("https://map.naver.com/p/search/장군면 송정리 산24-22", "지도Link")</f>
        <v/>
      </c>
      <c r="N2620" s="6">
        <f>HYPERLINK("http://www.eum.go.kr/web/ar/lu/luLandDet.jsp?pnu=3611035030200240022&amp;isNoScr=script&amp;mode=search", "토지이음")</f>
        <v/>
      </c>
      <c r="O2620" s="3" t="inlineStr">
        <is>
          <t>(주)정민근</t>
        </is>
      </c>
      <c r="P2620" s="4" t="n">
        <v>1</v>
      </c>
      <c r="Q2620" s="4" t="n">
        <v>28805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맹지</t>
        </is>
      </c>
    </row>
    <row r="2621">
      <c r="A2621" s="3" t="inlineStr">
        <is>
          <t>장군면 송학리 126-11</t>
        </is>
      </c>
      <c r="B2621" s="3" t="inlineStr">
        <is>
          <t>계획관리지역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264000</v>
      </c>
      <c r="G2621" s="4" t="n">
        <v>4367</v>
      </c>
      <c r="H2621" s="4" t="n">
        <v>1321</v>
      </c>
      <c r="I2621" s="5" t="n">
        <v>199.8</v>
      </c>
      <c r="J2621" s="5" t="n">
        <v>46.3</v>
      </c>
      <c r="K2621" s="3" t="inlineStr">
        <is>
          <t>6미터 도로에 접한 계획관리 토지</t>
        </is>
      </c>
      <c r="L2621" s="6">
        <f>HYPERLINK("https://fin.land.naver.com/articles/2655086071", "매물Link")</f>
        <v/>
      </c>
      <c r="M2621" s="6">
        <f>HYPERLINK("https://map.naver.com/p/search/장군면 송학리 126-11", "지도Link")</f>
        <v/>
      </c>
      <c r="N2621" s="6">
        <f>HYPERLINK("http://www.eum.go.kr/web/ar/lu/luLandDet.jsp?pnu=3611035031101260011&amp;isNoScr=script&amp;mode=search", "토지이음")</f>
        <v/>
      </c>
      <c r="O2621" s="3" t="inlineStr">
        <is>
          <t>세종대박</t>
        </is>
      </c>
      <c r="P2621" s="4" t="n">
        <v>1</v>
      </c>
      <c r="Q2621" s="4" t="n">
        <v>4367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송학리 136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90000</v>
      </c>
      <c r="G2622" s="4" t="n">
        <v>1980</v>
      </c>
      <c r="H2622" s="4" t="n">
        <v>599</v>
      </c>
      <c r="I2622" s="5" t="n">
        <v>150.3</v>
      </c>
      <c r="J2622" s="5" t="n">
        <v>48.9</v>
      </c>
      <c r="K2622" s="3" t="inlineStr">
        <is>
          <t>송학리 도로접한 계획관리 땅모양 예뻐요</t>
        </is>
      </c>
      <c r="L2622" s="6">
        <f>HYPERLINK("https://fin.land.naver.com/articles/2655217089", "매물Link")</f>
        <v/>
      </c>
      <c r="M2622" s="6">
        <f>HYPERLINK("https://map.naver.com/p/search/장군면 송학리 136", "지도Link")</f>
        <v/>
      </c>
      <c r="N2622" s="6">
        <f>HYPERLINK("http://www.eum.go.kr/web/ar/lu/luLandDet.jsp?pnu=3611035031101360000&amp;isNoScr=script&amp;mode=search", "토지이음")</f>
        <v/>
      </c>
      <c r="O2622" s="3" t="inlineStr">
        <is>
          <t>생명나무</t>
        </is>
      </c>
      <c r="P2622" s="4" t="n">
        <v>1</v>
      </c>
      <c r="Q2622" s="4" t="n">
        <v>1904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송학리 156-3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43000</v>
      </c>
      <c r="G2623" s="4" t="n">
        <v>1438</v>
      </c>
      <c r="H2623" s="4" t="n">
        <v>435</v>
      </c>
      <c r="I2623" s="5" t="n">
        <v>98.90000000000001</v>
      </c>
      <c r="J2623" s="5" t="n">
        <v>33.7</v>
      </c>
      <c r="K2623" s="3" t="inlineStr">
        <is>
          <t>추후 지가상승 기대</t>
        </is>
      </c>
      <c r="L2623" s="6">
        <f>HYPERLINK("https://fin.land.naver.com/articles/2650956588", "매물Link")</f>
        <v/>
      </c>
      <c r="M2623" s="6">
        <f>HYPERLINK("https://map.naver.com/p/search/장군면 송학리 156-3", "지도Link")</f>
        <v/>
      </c>
      <c r="N2623" s="6">
        <f>HYPERLINK("http://www.eum.go.kr/web/ar/lu/luLandDet.jsp?pnu=3611035031101560003&amp;isNoScr=script&amp;mode=search", "토지이음")</f>
        <v/>
      </c>
      <c r="O2623" s="3" t="inlineStr">
        <is>
          <t>세종땅전문</t>
        </is>
      </c>
      <c r="P2623" s="4" t="n">
        <v>1</v>
      </c>
      <c r="Q2623" s="4" t="n">
        <v>1438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세로한면(불)</t>
        </is>
      </c>
    </row>
    <row r="2624">
      <c r="A2624" s="3" t="inlineStr">
        <is>
          <t>장군면 송학리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155000</v>
      </c>
      <c r="G2624" s="4" t="n">
        <v>3127</v>
      </c>
      <c r="H2624" s="4" t="n">
        <v>946</v>
      </c>
      <c r="I2624" s="5" t="n">
        <v>163.8</v>
      </c>
      <c r="J2624" s="5" t="n">
        <v>59.2</v>
      </c>
      <c r="K2624" s="3" t="inlineStr">
        <is>
          <t>세종 장군면 토지일괄매도 도로 차량진입 IC접근성 우수</t>
        </is>
      </c>
      <c r="L2624" s="6">
        <f>HYPERLINK("https://fin.land.naver.com/articles/2652359921", "매물Link")</f>
        <v/>
      </c>
      <c r="M2624" s="6">
        <f>HYPERLINK("https://map.naver.com/p/search/장군면 송학리 163", "지도Link")</f>
        <v/>
      </c>
      <c r="N2624" s="6">
        <f>HYPERLINK("http://www.eum.go.kr/web/ar/lu/luLandDet.jsp?pnu=3611035031101630000&amp;isNoScr=script&amp;mode=search", "토지이음")</f>
        <v/>
      </c>
      <c r="O2624" s="3" t="inlineStr">
        <is>
          <t>이화</t>
        </is>
      </c>
      <c r="P2624" s="4" t="n">
        <v>1</v>
      </c>
      <c r="Q2624" s="4" t="n">
        <v>360</v>
      </c>
      <c r="R2624" s="3" t="inlineStr">
        <is>
          <t>지정되지않음</t>
        </is>
      </c>
      <c r="S2624" s="3" t="inlineStr">
        <is>
          <t>단독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송학리 165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150000</v>
      </c>
      <c r="G2625" s="4" t="n">
        <v>1012</v>
      </c>
      <c r="H2625" s="4" t="n">
        <v>306</v>
      </c>
      <c r="I2625" s="5" t="n">
        <v>490.2</v>
      </c>
      <c r="J2625" s="5" t="n">
        <v>50.3</v>
      </c>
      <c r="K2625" s="3" t="inlineStr">
        <is>
          <t>nan</t>
        </is>
      </c>
      <c r="L2625" s="6">
        <f>HYPERLINK("https://fin.land.naver.com/articles/2652558847", "매물Link")</f>
        <v/>
      </c>
      <c r="M2625" s="6">
        <f>HYPERLINK("https://map.naver.com/p/search/장군면 송학리 165", "지도Link")</f>
        <v/>
      </c>
      <c r="N2625" s="6">
        <f>HYPERLINK("http://www.eum.go.kr/web/ar/lu/luLandDet.jsp?pnu=3611035031101650000&amp;isNoScr=script&amp;mode=search", "토지이음")</f>
        <v/>
      </c>
      <c r="O2625" s="3" t="inlineStr">
        <is>
          <t>키움</t>
        </is>
      </c>
      <c r="P2625" s="4" t="n">
        <v>1</v>
      </c>
      <c r="Q2625" s="4" t="n">
        <v>1012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송학리 182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71230</v>
      </c>
      <c r="G2626" s="4" t="n">
        <v>1385</v>
      </c>
      <c r="H2626" s="4" t="n">
        <v>419</v>
      </c>
      <c r="I2626" s="5" t="n">
        <v>170</v>
      </c>
      <c r="J2626" s="5" t="n">
        <v>50.8</v>
      </c>
      <c r="K2626" s="3" t="inlineStr">
        <is>
          <t>마을인근 도로접한 전 계획관리지역 두 필지 매매</t>
        </is>
      </c>
      <c r="L2626" s="6">
        <f>HYPERLINK("https://fin.land.naver.com/articles/2655312250", "매물Link")</f>
        <v/>
      </c>
      <c r="M2626" s="6">
        <f>HYPERLINK("https://map.naver.com/p/search/장군면 송학리 182", "지도Link")</f>
        <v/>
      </c>
      <c r="N2626" s="6">
        <f>HYPERLINK("http://www.eum.go.kr/web/ar/lu/luLandDet.jsp?pnu=3611035031101820000&amp;isNoScr=script&amp;mode=search", "토지이음")</f>
        <v/>
      </c>
      <c r="O2626" s="3" t="inlineStr">
        <is>
          <t>제이파크</t>
        </is>
      </c>
      <c r="P2626" s="4" t="n">
        <v>1</v>
      </c>
      <c r="Q2626" s="4" t="n">
        <v>692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사다리형</t>
        </is>
      </c>
      <c r="V2626" s="3" t="inlineStr">
        <is>
          <t>세로한면(가)</t>
        </is>
      </c>
    </row>
    <row r="2627">
      <c r="A2627" s="3" t="inlineStr">
        <is>
          <t>장군면 송학리 182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71230</v>
      </c>
      <c r="G2627" s="4" t="n">
        <v>1385</v>
      </c>
      <c r="H2627" s="4" t="n">
        <v>419</v>
      </c>
      <c r="I2627" s="5" t="n">
        <v>170</v>
      </c>
      <c r="J2627" s="5" t="n">
        <v>50.8</v>
      </c>
      <c r="K2627" s="3" t="inlineStr">
        <is>
          <t>nan</t>
        </is>
      </c>
      <c r="L2627" s="6">
        <f>HYPERLINK("https://fin.land.naver.com/articles/2656509554", "매물Link")</f>
        <v/>
      </c>
      <c r="M2627" s="6">
        <f>HYPERLINK("https://map.naver.com/p/search/장군면 송학리 182", "지도Link")</f>
        <v/>
      </c>
      <c r="N2627" s="6">
        <f>HYPERLINK("http://www.eum.go.kr/web/ar/lu/luLandDet.jsp?pnu=3611035031101820000&amp;isNoScr=script&amp;mode=search", "토지이음")</f>
        <v/>
      </c>
      <c r="O2627" s="3" t="inlineStr">
        <is>
          <t>강변</t>
        </is>
      </c>
      <c r="P2627" s="4" t="n">
        <v>2</v>
      </c>
      <c r="Q2627" s="4" t="n">
        <v>692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송학리 211-2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35000</v>
      </c>
      <c r="G2628" s="4" t="n">
        <v>338</v>
      </c>
      <c r="H2628" s="4" t="n">
        <v>102</v>
      </c>
      <c r="I2628" s="5" t="n">
        <v>343.1</v>
      </c>
      <c r="J2628" s="5" t="n">
        <v>58.5</v>
      </c>
      <c r="K2628" s="3" t="inlineStr">
        <is>
          <t>바른 세컨하우스로 좋은 농가주택과 토지  매매합니다   조정가능</t>
        </is>
      </c>
      <c r="L2628" s="6">
        <f>HYPERLINK("https://fin.land.naver.com/articles/2654858604", "매물Link")</f>
        <v/>
      </c>
      <c r="M2628" s="6">
        <f>HYPERLINK("https://map.naver.com/p/search/장군면 송학리 211-2", "지도Link")</f>
        <v/>
      </c>
      <c r="N2628" s="6">
        <f>HYPERLINK("http://www.eum.go.kr/web/ar/lu/luLandDet.jsp?pnu=3611035031102110002&amp;isNoScr=script&amp;mode=search", "토지이음")</f>
        <v/>
      </c>
      <c r="O2628" s="3" t="inlineStr">
        <is>
          <t>검단예미지바른</t>
        </is>
      </c>
      <c r="P2628" s="4" t="n">
        <v>1</v>
      </c>
      <c r="Q2628" s="4" t="n">
        <v>338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장군면 송학리 211-5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60000</v>
      </c>
      <c r="G2629" s="4" t="n">
        <v>686</v>
      </c>
      <c r="H2629" s="4" t="n">
        <v>208</v>
      </c>
      <c r="I2629" s="5" t="n">
        <v>288.5</v>
      </c>
      <c r="J2629" s="5" t="n">
        <v>70.5</v>
      </c>
      <c r="K2629" s="3" t="inlineStr">
        <is>
          <t>바른 귀한 나대지 매매합니다</t>
        </is>
      </c>
      <c r="L2629" s="6">
        <f>HYPERLINK("https://fin.land.naver.com/articles/2651856522", "매물Link")</f>
        <v/>
      </c>
      <c r="M2629" s="6">
        <f>HYPERLINK("https://map.naver.com/p/search/장군면 송학리 211-5", "지도Link")</f>
        <v/>
      </c>
      <c r="N2629" s="6">
        <f>HYPERLINK("http://www.eum.go.kr/web/ar/lu/luLandDet.jsp?pnu=3611035031102110005&amp;isNoScr=script&amp;mode=search", "토지이음")</f>
        <v/>
      </c>
      <c r="O2629" s="3" t="inlineStr">
        <is>
          <t>검단예미지바른</t>
        </is>
      </c>
      <c r="P2629" s="4" t="n">
        <v>1</v>
      </c>
      <c r="Q2629" s="4" t="n">
        <v>686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송학리 212</t>
        </is>
      </c>
      <c r="B2630" s="3" t="inlineStr">
        <is>
          <t>계획관리지역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450000</v>
      </c>
      <c r="G2630" s="4" t="n">
        <v>10003</v>
      </c>
      <c r="H2630" s="4" t="n">
        <v>3026</v>
      </c>
      <c r="I2630" s="5" t="n">
        <v>148.7</v>
      </c>
      <c r="J2630" s="5" t="n">
        <v>27.5</v>
      </c>
      <c r="K2630" s="3" t="inlineStr">
        <is>
          <t>계획관리지역 알토란 토지,실외 골프연습장,전원주택지조성,가격조정가능</t>
        </is>
      </c>
      <c r="L2630" s="6">
        <f>HYPERLINK("https://fin.land.naver.com/articles/2651445631", "매물Link")</f>
        <v/>
      </c>
      <c r="M2630" s="6">
        <f>HYPERLINK("https://map.naver.com/p/search/장군면 송학리 212", "지도Link")</f>
        <v/>
      </c>
      <c r="N2630" s="6">
        <f>HYPERLINK("http://www.eum.go.kr/web/ar/lu/luLandDet.jsp?pnu=3611035031102120000&amp;isNoScr=script&amp;mode=search", "토지이음")</f>
        <v/>
      </c>
      <c r="O2630" s="3" t="inlineStr">
        <is>
          <t>고운맘</t>
        </is>
      </c>
      <c r="P2630" s="4" t="n">
        <v>1</v>
      </c>
      <c r="Q2630" s="4" t="n">
        <v>8934</v>
      </c>
      <c r="R2630" s="3" t="inlineStr">
        <is>
          <t>지정되지않음</t>
        </is>
      </c>
      <c r="S2630" s="3" t="inlineStr">
        <is>
          <t>토지임야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송학리 212-1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453000</v>
      </c>
      <c r="G2631" s="4" t="n">
        <v>10003</v>
      </c>
      <c r="H2631" s="4" t="n">
        <v>3026</v>
      </c>
      <c r="I2631" s="5" t="n">
        <v>149.7</v>
      </c>
      <c r="J2631" s="5" t="n">
        <v>28.6</v>
      </c>
      <c r="K2631" s="3" t="inlineStr">
        <is>
          <t>계획관리지역 임야, 실외 골프연습장 설치, 전원주택지 개발 등 추천</t>
        </is>
      </c>
      <c r="L2631" s="6">
        <f>HYPERLINK("https://fin.land.naver.com/articles/2655656837", "매물Link")</f>
        <v/>
      </c>
      <c r="M2631" s="6">
        <f>HYPERLINK("https://map.naver.com/p/search/장군면 송학리 212-1", "지도Link")</f>
        <v/>
      </c>
      <c r="N2631" s="6">
        <f>HYPERLINK("http://www.eum.go.kr/web/ar/lu/luLandDet.jsp?pnu=3611035031102120001&amp;isNoScr=script&amp;mode=search", "토지이음")</f>
        <v/>
      </c>
      <c r="O2631" s="3" t="inlineStr">
        <is>
          <t>온뜰</t>
        </is>
      </c>
      <c r="P2631" s="4" t="n">
        <v>1</v>
      </c>
      <c r="Q2631" s="4" t="n">
        <v>1069</v>
      </c>
      <c r="R2631" s="3" t="inlineStr">
        <is>
          <t>지정되지않음</t>
        </is>
      </c>
      <c r="S2631" s="3" t="inlineStr">
        <is>
          <t>토지임야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장군면 송학리 227</t>
        </is>
      </c>
      <c r="B2632" s="3" t="inlineStr">
        <is>
          <t>계획관리지역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80250</v>
      </c>
      <c r="G2632" s="4" t="n">
        <v>1769</v>
      </c>
      <c r="H2632" s="4" t="n">
        <v>535</v>
      </c>
      <c r="I2632" s="5" t="n">
        <v>150</v>
      </c>
      <c r="J2632" s="5" t="n">
        <v>48.1</v>
      </c>
      <c r="K2632" s="3" t="inlineStr">
        <is>
          <t>IC인근 교통 요지에 위치, 개발 활용도 높은 계획관리 답, 카페 추천</t>
        </is>
      </c>
      <c r="L2632" s="6">
        <f>HYPERLINK("https://fin.land.naver.com/articles/2655657213", "매물Link")</f>
        <v/>
      </c>
      <c r="M2632" s="6">
        <f>HYPERLINK("https://map.naver.com/p/search/장군면 송학리 227", "지도Link")</f>
        <v/>
      </c>
      <c r="N2632" s="6">
        <f>HYPERLINK("http://www.eum.go.kr/web/ar/lu/luLandDet.jsp?pnu=3611035031102270000&amp;isNoScr=script&amp;mode=search", "토지이음")</f>
        <v/>
      </c>
      <c r="O2632" s="3" t="inlineStr">
        <is>
          <t>온뜰</t>
        </is>
      </c>
      <c r="P2632" s="4" t="n">
        <v>1</v>
      </c>
      <c r="Q2632" s="4" t="n">
        <v>1769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장군면 송학리 249-1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115700</v>
      </c>
      <c r="G2633" s="4" t="n">
        <v>2123</v>
      </c>
      <c r="H2633" s="4" t="n">
        <v>642</v>
      </c>
      <c r="I2633" s="5" t="n">
        <v>180.2</v>
      </c>
      <c r="J2633" s="5" t="n">
        <v>33.8</v>
      </c>
      <c r="K2633" s="3" t="inlineStr">
        <is>
          <t>정남향의 전원주택지로  공기좋고, 조용하고, 교통진출입이 최적의 입지</t>
        </is>
      </c>
      <c r="L2633" s="6">
        <f>HYPERLINK("https://fin.land.naver.com/articles/2650867853", "매물Link")</f>
        <v/>
      </c>
      <c r="M2633" s="6">
        <f>HYPERLINK("https://map.naver.com/p/search/장군면 송학리 249-1", "지도Link")</f>
        <v/>
      </c>
      <c r="N2633" s="6">
        <f>HYPERLINK("http://www.eum.go.kr/web/ar/lu/luLandDet.jsp?pnu=3611035031102490001&amp;isNoScr=script&amp;mode=search", "토지이음")</f>
        <v/>
      </c>
      <c r="O2633" s="3" t="inlineStr">
        <is>
          <t>신하나로</t>
        </is>
      </c>
      <c r="P2633" s="4" t="n">
        <v>1</v>
      </c>
      <c r="Q2633" s="4" t="n">
        <v>446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송학리 249-4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116100</v>
      </c>
      <c r="G2634" s="4" t="n">
        <v>2132</v>
      </c>
      <c r="H2634" s="4" t="n">
        <v>645</v>
      </c>
      <c r="I2634" s="5" t="n">
        <v>180</v>
      </c>
      <c r="J2634" s="5" t="n">
        <v>41.3</v>
      </c>
      <c r="K2634" s="3" t="inlineStr">
        <is>
          <t>아늑하고 조용해서 전원주택 최고의  자링비니다.</t>
        </is>
      </c>
      <c r="L2634" s="6">
        <f>HYPERLINK("https://fin.land.naver.com/articles/2652780064", "매물Link")</f>
        <v/>
      </c>
      <c r="M2634" s="6">
        <f>HYPERLINK("https://map.naver.com/p/search/장군면 송학리 249-4", "지도Link")</f>
        <v/>
      </c>
      <c r="N2634" s="6">
        <f>HYPERLINK("http://www.eum.go.kr/web/ar/lu/luLandDet.jsp?pnu=3611035031102490004&amp;isNoScr=script&amp;mode=search", "토지이음")</f>
        <v/>
      </c>
      <c r="O2634" s="3" t="inlineStr">
        <is>
          <t>신하나로</t>
        </is>
      </c>
      <c r="P2634" s="4" t="n">
        <v>1</v>
      </c>
      <c r="Q2634" s="4" t="n">
        <v>334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송학리 430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35000</v>
      </c>
      <c r="G2635" s="4" t="n">
        <v>1048</v>
      </c>
      <c r="H2635" s="4" t="n">
        <v>317</v>
      </c>
      <c r="I2635" s="5" t="n">
        <v>110.4</v>
      </c>
      <c r="J2635" s="5" t="n">
        <v>60</v>
      </c>
      <c r="K2635" s="3" t="inlineStr">
        <is>
          <t>현재 오래된 주택,하우스 농작물 재배중</t>
        </is>
      </c>
      <c r="L2635" s="6">
        <f>HYPERLINK("https://fin.land.naver.com/articles/2651972097", "매물Link")</f>
        <v/>
      </c>
      <c r="M2635" s="6">
        <f>HYPERLINK("https://map.naver.com/p/search/장군면 송학리 430", "지도Link")</f>
        <v/>
      </c>
      <c r="N2635" s="6">
        <f>HYPERLINK("http://www.eum.go.kr/web/ar/lu/luLandDet.jsp?pnu=3611035031104300000&amp;isNoScr=script&amp;mode=search", "토지이음")</f>
        <v/>
      </c>
      <c r="O2635" s="3" t="inlineStr">
        <is>
          <t>그린영광</t>
        </is>
      </c>
      <c r="P2635" s="4" t="n">
        <v>1</v>
      </c>
      <c r="Q2635" s="4" t="n">
        <v>1048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송학리 440-18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36000</v>
      </c>
      <c r="G2636" s="4" t="n">
        <v>696</v>
      </c>
      <c r="H2636" s="4" t="n">
        <v>211</v>
      </c>
      <c r="I2636" s="5" t="n">
        <v>170.6</v>
      </c>
      <c r="J2636" s="5" t="n">
        <v>55.4</v>
      </c>
      <c r="K2636" s="3" t="inlineStr">
        <is>
          <t>예쁜 전원주택지, 남동향, 행복도시 15분</t>
        </is>
      </c>
      <c r="L2636" s="6">
        <f>HYPERLINK("https://fin.land.naver.com/articles/2652040656", "매물Link")</f>
        <v/>
      </c>
      <c r="M2636" s="6">
        <f>HYPERLINK("https://map.naver.com/p/search/장군면 송학리 440-18", "지도Link")</f>
        <v/>
      </c>
      <c r="N2636" s="6">
        <f>HYPERLINK("http://www.eum.go.kr/web/ar/lu/luLandDet.jsp?pnu=3611035031104400018&amp;isNoScr=script&amp;mode=search",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696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세로한면(가)</t>
        </is>
      </c>
    </row>
    <row r="2637">
      <c r="A2637" s="3" t="inlineStr">
        <is>
          <t>장군면 송학리 442-1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40000</v>
      </c>
      <c r="G2637" s="4" t="n">
        <v>838</v>
      </c>
      <c r="H2637" s="4" t="n">
        <v>253</v>
      </c>
      <c r="I2637" s="5" t="n">
        <v>158.1</v>
      </c>
      <c r="J2637" s="5" t="n">
        <v>41.2</v>
      </c>
      <c r="K2637" s="3" t="inlineStr">
        <is>
          <t>지방도 인접 송학전원주택지 앞 계획관리 전, 남쪽으로 트인 조망, 조정가</t>
        </is>
      </c>
      <c r="L2637" s="6">
        <f>HYPERLINK("https://fin.land.naver.com/articles/2655657456", "매물Link")</f>
        <v/>
      </c>
      <c r="M2637" s="6">
        <f>HYPERLINK("https://map.naver.com/p/search/장군면 송학리 442-1", "지도Link")</f>
        <v/>
      </c>
      <c r="N2637" s="6">
        <f>HYPERLINK("http://www.eum.go.kr/web/ar/lu/luLandDet.jsp?pnu=3611035031104420001&amp;isNoScr=script&amp;mode=search", "토지이음")</f>
        <v/>
      </c>
      <c r="O2637" s="3" t="inlineStr">
        <is>
          <t>온뜰</t>
        </is>
      </c>
      <c r="P2637" s="4" t="n">
        <v>1</v>
      </c>
      <c r="Q2637" s="4" t="n">
        <v>838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장군면 송학리 442-2</t>
        </is>
      </c>
      <c r="B2638" s="3" t="inlineStr">
        <is>
          <t>계획관리지역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40000</v>
      </c>
      <c r="G2638" s="4" t="n">
        <v>869</v>
      </c>
      <c r="H2638" s="4" t="n">
        <v>263</v>
      </c>
      <c r="I2638" s="5" t="n">
        <v>152.1</v>
      </c>
      <c r="J2638" s="5" t="n">
        <v>40.8</v>
      </c>
      <c r="K2638" s="3" t="inlineStr">
        <is>
          <t>지방도 인접 송학전원주택지 앞 계획관리 전, 남쪽으로 트인 조망, 조정가</t>
        </is>
      </c>
      <c r="L2638" s="6">
        <f>HYPERLINK("https://fin.land.naver.com/articles/2655657676", "매물Link")</f>
        <v/>
      </c>
      <c r="M2638" s="6">
        <f>HYPERLINK("https://map.naver.com/p/search/장군면 송학리 442-2", "지도Link")</f>
        <v/>
      </c>
      <c r="N2638" s="6">
        <f>HYPERLINK("http://www.eum.go.kr/web/ar/lu/luLandDet.jsp?pnu=3611035031104420002&amp;isNoScr=script&amp;mode=search", "토지이음")</f>
        <v/>
      </c>
      <c r="O2638" s="3" t="inlineStr">
        <is>
          <t>온뜰</t>
        </is>
      </c>
      <c r="P2638" s="4" t="n">
        <v>1</v>
      </c>
      <c r="Q2638" s="4" t="n">
        <v>869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장군면 송학리 445-2</t>
        </is>
      </c>
      <c r="B2639" s="3" t="inlineStr">
        <is>
          <t>계획관리지역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38000</v>
      </c>
      <c r="G2639" s="4" t="n">
        <v>650</v>
      </c>
      <c r="H2639" s="4" t="n">
        <v>197</v>
      </c>
      <c r="I2639" s="5" t="n">
        <v>192.9</v>
      </c>
      <c r="J2639" s="5" t="n">
        <v>64.5</v>
      </c>
      <c r="K2639" s="3" t="inlineStr">
        <is>
          <t>세종공주 생활권, 계획관리 토지와 정식 준공 단독주택 일괄매매</t>
        </is>
      </c>
      <c r="L2639" s="6">
        <f>HYPERLINK("https://fin.land.naver.com/articles/2655035816", "매물Link")</f>
        <v/>
      </c>
      <c r="M2639" s="6">
        <f>HYPERLINK("https://map.naver.com/p/search/장군면 송학리 445-2", "지도Link")</f>
        <v/>
      </c>
      <c r="N2639" s="6">
        <f>HYPERLINK("http://www.eum.go.kr/web/ar/lu/luLandDet.jsp?pnu=3611035031104450002&amp;isNoScr=script&amp;mode=search", "토지이음")</f>
        <v/>
      </c>
      <c r="O2639" s="3" t="inlineStr">
        <is>
          <t>세종소담황금</t>
        </is>
      </c>
      <c r="P2639" s="4" t="n">
        <v>1</v>
      </c>
      <c r="Q2639" s="4" t="n">
        <v>627</v>
      </c>
      <c r="R2639" s="3" t="inlineStr">
        <is>
          <t>지정되지않음</t>
        </is>
      </c>
      <c r="S2639" s="3" t="inlineStr">
        <is>
          <t>단독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송학리 455-2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50000</v>
      </c>
      <c r="G2640" s="4" t="n">
        <v>1048</v>
      </c>
      <c r="H2640" s="4" t="n">
        <v>317</v>
      </c>
      <c r="I2640" s="5" t="n">
        <v>157.7</v>
      </c>
      <c r="J2640" s="5" t="n">
        <v>48.4</v>
      </c>
      <c r="K2640" s="3" t="inlineStr">
        <is>
          <t>농작물 재배중</t>
        </is>
      </c>
      <c r="L2640" s="6">
        <f>HYPERLINK("https://fin.land.naver.com/articles/2651969697", "매물Link")</f>
        <v/>
      </c>
      <c r="M2640" s="6">
        <f>HYPERLINK("https://map.naver.com/p/search/장군면 송학리 455-2", "지도Link")</f>
        <v/>
      </c>
      <c r="N2640" s="6">
        <f>HYPERLINK("http://www.eum.go.kr/web/ar/lu/luLandDet.jsp?pnu=3611035031104550002&amp;isNoScr=script&amp;mode=search", "토지이음")</f>
        <v/>
      </c>
      <c r="O2640" s="3" t="inlineStr">
        <is>
          <t>그린영광</t>
        </is>
      </c>
      <c r="P2640" s="4" t="n">
        <v>1</v>
      </c>
      <c r="Q2640" s="4" t="n">
        <v>4261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송학리 455-2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36000</v>
      </c>
      <c r="G2641" s="4" t="n">
        <v>992</v>
      </c>
      <c r="H2641" s="4" t="n">
        <v>300</v>
      </c>
      <c r="I2641" s="5" t="n">
        <v>120</v>
      </c>
      <c r="J2641" s="5" t="n">
        <v>48.4</v>
      </c>
      <c r="K2641" s="3" t="inlineStr">
        <is>
          <t>nan</t>
        </is>
      </c>
      <c r="L2641" s="6">
        <f>HYPERLINK("https://fin.land.naver.com/articles/2656576029", "매물Link")</f>
        <v/>
      </c>
      <c r="M2641" s="6">
        <f>HYPERLINK("https://map.naver.com/p/search/장군면 송학리 455-2", "지도Link")</f>
        <v/>
      </c>
      <c r="N2641" s="6">
        <f>HYPERLINK("http://www.eum.go.kr/web/ar/lu/luLandDet.jsp?pnu=3611035031104550002&amp;isNoScr=script&amp;mode=search", "토지이음")</f>
        <v/>
      </c>
      <c r="O2641" s="3" t="inlineStr">
        <is>
          <t>세종공주제일</t>
        </is>
      </c>
      <c r="P2641" s="4" t="n">
        <v>1</v>
      </c>
      <c r="Q2641" s="4" t="n">
        <v>4261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장군면 송학리 468-1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800000</v>
      </c>
      <c r="G2642" s="4" t="n">
        <v>6074</v>
      </c>
      <c r="H2642" s="4" t="n">
        <v>1837</v>
      </c>
      <c r="I2642" s="5" t="n">
        <v>435.5</v>
      </c>
      <c r="J2642" s="5" t="n">
        <v>41.9</v>
      </c>
      <c r="K2642" s="3" t="inlineStr">
        <is>
          <t>건물포함 총 7필지, 투자가치 좋은 넓은 토지</t>
        </is>
      </c>
      <c r="L2642" s="6">
        <f>HYPERLINK("https://fin.land.naver.com/articles/2652510306", "매물Link")</f>
        <v/>
      </c>
      <c r="M2642" s="6">
        <f>HYPERLINK("https://map.naver.com/p/search/장군면 송학리 468-1", "지도Link")</f>
        <v/>
      </c>
      <c r="N2642" s="6">
        <f>HYPERLINK("http://www.eum.go.kr/web/ar/lu/luLandDet.jsp?pnu=3611035031104680001&amp;isNoScr=script&amp;mode=search", "토지이음")</f>
        <v/>
      </c>
      <c r="O2642" s="3" t="inlineStr">
        <is>
          <t>터</t>
        </is>
      </c>
      <c r="P2642" s="4" t="n">
        <v>1</v>
      </c>
      <c r="Q2642" s="4" t="n">
        <v>690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장군면 송학리 478-1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74000</v>
      </c>
      <c r="G2643" s="4" t="n">
        <v>1623</v>
      </c>
      <c r="H2643" s="4" t="n">
        <v>491</v>
      </c>
      <c r="I2643" s="5" t="n">
        <v>150.7</v>
      </c>
      <c r="J2643" s="5" t="n">
        <v>52.8</v>
      </c>
      <c r="K2643" s="3" t="inlineStr">
        <is>
          <t>2차선 도로옆 목좋은 토지, 계획관리지역, 가치 있는땅</t>
        </is>
      </c>
      <c r="L2643" s="6">
        <f>HYPERLINK("https://fin.land.naver.com/articles/2656021771", "매물Link")</f>
        <v/>
      </c>
      <c r="M2643" s="6">
        <f>HYPERLINK("https://map.naver.com/p/search/장군면 송학리 478-1", "지도Link")</f>
        <v/>
      </c>
      <c r="N2643" s="6">
        <f>HYPERLINK("http://www.eum.go.kr/web/ar/lu/luLandDet.jsp?pnu=3611035031104780001&amp;isNoScr=script&amp;mode=search", "토지이음")</f>
        <v/>
      </c>
      <c r="O2643" s="3" t="inlineStr">
        <is>
          <t>해랑숲</t>
        </is>
      </c>
      <c r="P2643" s="4" t="n">
        <v>1</v>
      </c>
      <c r="Q2643" s="4" t="n">
        <v>1623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장군면 송학리 483-2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43000</v>
      </c>
      <c r="G2644" s="4" t="n">
        <v>1191</v>
      </c>
      <c r="H2644" s="4" t="n">
        <v>360</v>
      </c>
      <c r="I2644" s="5" t="n">
        <v>119.4</v>
      </c>
      <c r="J2644" s="5" t="n">
        <v>40.3</v>
      </c>
      <c r="K2644" s="3" t="inlineStr">
        <is>
          <t>계획관리지역 현황도로 접, 앞면 탁트이고 주변 풍광 뛰어나 전원주택 추천</t>
        </is>
      </c>
      <c r="L2644" s="6">
        <f>HYPERLINK("https://fin.land.naver.com/articles/2656486731", "매물Link")</f>
        <v/>
      </c>
      <c r="M2644" s="6">
        <f>HYPERLINK("https://map.naver.com/p/search/장군면 송학리 483-2", "지도Link")</f>
        <v/>
      </c>
      <c r="N2644" s="6">
        <f>HYPERLINK("http://www.eum.go.kr/web/ar/lu/luLandDet.jsp?pnu=3611035031104830002&amp;isNoScr=script&amp;mode=search", "토지이음")</f>
        <v/>
      </c>
      <c r="O2644" s="3" t="inlineStr">
        <is>
          <t>온뜰</t>
        </is>
      </c>
      <c r="P2644" s="4" t="n">
        <v>1</v>
      </c>
      <c r="Q2644" s="4" t="n">
        <v>1191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송학리 483-2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47000</v>
      </c>
      <c r="G2645" s="4" t="n">
        <v>1191</v>
      </c>
      <c r="H2645" s="4" t="n">
        <v>360</v>
      </c>
      <c r="I2645" s="5" t="n">
        <v>130.6</v>
      </c>
      <c r="J2645" s="5" t="n">
        <v>40.3</v>
      </c>
      <c r="K2645" s="3" t="inlineStr">
        <is>
          <t>입지좋은 계획관리지역, 도로인접으로 전원주택활용 및 투자가치 높은 토지</t>
        </is>
      </c>
      <c r="L2645" s="6">
        <f>HYPERLINK("https://fin.land.naver.com/articles/2653717060", "매물Link")</f>
        <v/>
      </c>
      <c r="M2645" s="6">
        <f>HYPERLINK("https://map.naver.com/p/search/장군면 송학리 483-2", "지도Link")</f>
        <v/>
      </c>
      <c r="N2645" s="6">
        <f>HYPERLINK("http://www.eum.go.kr/web/ar/lu/luLandDet.jsp?pnu=3611035031104830002&amp;isNoScr=script&amp;mode=search", "토지이음")</f>
        <v/>
      </c>
      <c r="O2645" s="3" t="inlineStr">
        <is>
          <t>마곡9단지</t>
        </is>
      </c>
      <c r="P2645" s="4" t="n">
        <v>5</v>
      </c>
      <c r="Q2645" s="4" t="n">
        <v>1191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송학리 49-1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62000</v>
      </c>
      <c r="G2646" s="4" t="n">
        <v>685</v>
      </c>
      <c r="H2646" s="4" t="n">
        <v>207</v>
      </c>
      <c r="I2646" s="5" t="n">
        <v>299.5</v>
      </c>
      <c r="J2646" s="5" t="n">
        <v>82</v>
      </c>
      <c r="K2646" s="3" t="inlineStr">
        <is>
          <t>서울세종고속도로 나들목 근처</t>
        </is>
      </c>
      <c r="L2646" s="6">
        <f>HYPERLINK("https://fin.land.naver.com/articles/2655019624", "매물Link")</f>
        <v/>
      </c>
      <c r="M2646" s="6">
        <f>HYPERLINK("https://map.naver.com/p/search/장군면 송학리 49-1", "지도Link")</f>
        <v/>
      </c>
      <c r="N2646" s="6">
        <f>HYPERLINK("http://www.eum.go.kr/web/ar/lu/luLandDet.jsp?pnu=3611035031100490001&amp;isNoScr=script&amp;mode=search", "토지이음")</f>
        <v/>
      </c>
      <c r="O2646" s="3" t="inlineStr">
        <is>
          <t>바다하리</t>
        </is>
      </c>
      <c r="P2646" s="4" t="n">
        <v>1</v>
      </c>
      <c r="Q2646" s="4" t="n">
        <v>685</v>
      </c>
      <c r="R2646" s="3" t="inlineStr">
        <is>
          <t>지정되지않음</t>
        </is>
      </c>
      <c r="S2646" s="3" t="inlineStr">
        <is>
          <t>주거나지</t>
        </is>
      </c>
      <c r="T2646" s="3" t="inlineStr">
        <is>
          <t>평지</t>
        </is>
      </c>
      <c r="U2646" s="3" t="inlineStr">
        <is>
          <t>사다리형</t>
        </is>
      </c>
      <c r="V2646" s="3" t="inlineStr">
        <is>
          <t>소로한면</t>
        </is>
      </c>
    </row>
    <row r="2647">
      <c r="A2647" s="3" t="inlineStr">
        <is>
          <t>장군면 송학리 578-4</t>
        </is>
      </c>
      <c r="B2647" s="3" t="inlineStr">
        <is>
          <t>농림지역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121600</v>
      </c>
      <c r="G2647" s="4" t="n">
        <v>5026</v>
      </c>
      <c r="H2647" s="4" t="n">
        <v>1520</v>
      </c>
      <c r="I2647" s="5" t="n">
        <v>80</v>
      </c>
      <c r="J2647" s="5" t="n">
        <v>23.9</v>
      </c>
      <c r="K2647" s="3" t="inlineStr">
        <is>
          <t>도로접. 답  분할매매가능 ,대토가능</t>
        </is>
      </c>
      <c r="L2647" s="6">
        <f>HYPERLINK("https://fin.land.naver.com/articles/2652649930", "매물Link")</f>
        <v/>
      </c>
      <c r="M2647" s="6">
        <f>HYPERLINK("https://map.naver.com/p/search/장군면 송학리 578-4", "지도Link")</f>
        <v/>
      </c>
      <c r="N2647" s="6">
        <f>HYPERLINK("http://www.eum.go.kr/web/ar/lu/luLandDet.jsp?pnu=3611035031105780004&amp;isNoScr=script&amp;mode=search", "토지이음")</f>
        <v/>
      </c>
      <c r="O2647" s="3" t="inlineStr">
        <is>
          <t>제이파크</t>
        </is>
      </c>
      <c r="P2647" s="4" t="n">
        <v>1</v>
      </c>
      <c r="Q2647" s="4" t="n">
        <v>5026.2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평지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송학리 579-8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99500</v>
      </c>
      <c r="G2648" s="4" t="n">
        <v>4110</v>
      </c>
      <c r="H2648" s="4" t="n">
        <v>1243</v>
      </c>
      <c r="I2648" s="5" t="n">
        <v>80</v>
      </c>
      <c r="J2648" s="5" t="n">
        <v>24.4</v>
      </c>
      <c r="K2648" s="3" t="inlineStr">
        <is>
          <t>세종시인접하고 교통이편리함, 투자로 좋아요</t>
        </is>
      </c>
      <c r="L2648" s="6">
        <f>HYPERLINK("https://fin.land.naver.com/articles/2652000495", "매물Link")</f>
        <v/>
      </c>
      <c r="M2648" s="6">
        <f>HYPERLINK("https://map.naver.com/p/search/장군면 송학리 579-8", "지도Link")</f>
        <v/>
      </c>
      <c r="N2648" s="6">
        <f>HYPERLINK("http://www.eum.go.kr/web/ar/lu/luLandDet.jsp?pnu=3611035031105790008&amp;isNoScr=script&amp;mode=search", "토지이음")</f>
        <v/>
      </c>
      <c r="O2648" s="3" t="inlineStr">
        <is>
          <t>담뜰</t>
        </is>
      </c>
      <c r="P2648" s="4" t="n">
        <v>1</v>
      </c>
      <c r="Q2648" s="4" t="n">
        <v>4110.1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송학리 90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450000</v>
      </c>
      <c r="G2649" s="4" t="n">
        <v>4271</v>
      </c>
      <c r="H2649" s="4" t="n">
        <v>1292</v>
      </c>
      <c r="I2649" s="5" t="n">
        <v>348.3</v>
      </c>
      <c r="J2649" s="5" t="n">
        <v>54</v>
      </c>
      <c r="K2649" s="3" t="inlineStr">
        <is>
          <t>왕복 2차선 도로 접, 세종ic 약 1.5킬로, 와룡산업단지 약 3키로</t>
        </is>
      </c>
      <c r="L2649" s="6">
        <f>HYPERLINK("https://fin.land.naver.com/articles/2653204620", "매물Link")</f>
        <v/>
      </c>
      <c r="M2649" s="6">
        <f>HYPERLINK("https://map.naver.com/p/search/장군면 송학리 90", "지도Link")</f>
        <v/>
      </c>
      <c r="N2649" s="6">
        <f>HYPERLINK("http://www.eum.go.kr/web/ar/lu/luLandDet.jsp?pnu=3611035031100900000&amp;isNoScr=script&amp;mode=search", "토지이음")</f>
        <v/>
      </c>
      <c r="O2649" s="3" t="inlineStr">
        <is>
          <t>행복한무소</t>
        </is>
      </c>
      <c r="P2649" s="4" t="n">
        <v>1</v>
      </c>
      <c r="Q2649" s="4" t="n">
        <v>3815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장군면 송학리 산38-11</t>
        </is>
      </c>
      <c r="B2650" s="3" t="inlineStr">
        <is>
          <t>계획관리지역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107000</v>
      </c>
      <c r="G2650" s="4" t="n">
        <v>1226</v>
      </c>
      <c r="H2650" s="4" t="n">
        <v>371</v>
      </c>
      <c r="I2650" s="5" t="n">
        <v>288.4</v>
      </c>
      <c r="J2650" s="5" t="n">
        <v>9.6</v>
      </c>
      <c r="K2650" s="3" t="inlineStr">
        <is>
          <t>2차선 의당전의로접 계획관리지역 임야 세종청사17분.서세종IC 12분거리</t>
        </is>
      </c>
      <c r="L2650" s="6">
        <f>HYPERLINK("https://fin.land.naver.com/articles/2656315950", "매물Link")</f>
        <v/>
      </c>
      <c r="M2650" s="6">
        <f>HYPERLINK("https://map.naver.com/p/search/장군면 송학리 산38-11", "지도Link")</f>
        <v/>
      </c>
      <c r="N2650" s="6">
        <f>HYPERLINK("http://www.eum.go.kr/web/ar/lu/luLandDet.jsp?pnu=3611035031200380011&amp;isNoScr=script&amp;mode=search", "토지이음")</f>
        <v/>
      </c>
      <c r="O2650" s="3" t="inlineStr">
        <is>
          <t>새롬삼둥이</t>
        </is>
      </c>
      <c r="P2650" s="4" t="n">
        <v>7</v>
      </c>
      <c r="Q2650" s="4" t="n">
        <v>1226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자루형</t>
        </is>
      </c>
      <c r="V2650" s="3" t="inlineStr">
        <is>
          <t>소로한면</t>
        </is>
      </c>
    </row>
    <row r="2651">
      <c r="A2651" s="3" t="inlineStr">
        <is>
          <t>장군면 송학리 산38-11</t>
        </is>
      </c>
      <c r="B2651" s="3" t="inlineStr">
        <is>
          <t>계획관리지역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107000</v>
      </c>
      <c r="G2651" s="4" t="n">
        <v>1226</v>
      </c>
      <c r="H2651" s="4" t="n">
        <v>371</v>
      </c>
      <c r="I2651" s="5" t="n">
        <v>288.4</v>
      </c>
      <c r="J2651" s="5" t="n">
        <v>9.6</v>
      </c>
      <c r="K2651" s="3" t="inlineStr">
        <is>
          <t>게획관리지역 임야 2차선변 접.</t>
        </is>
      </c>
      <c r="L2651" s="6">
        <f>HYPERLINK("https://fin.land.naver.com/articles/2656166824", "매물Link")</f>
        <v/>
      </c>
      <c r="M2651" s="6">
        <f>HYPERLINK("https://map.naver.com/p/search/장군면 송학리 산38-11", "지도Link")</f>
        <v/>
      </c>
      <c r="N2651" s="6">
        <f>HYPERLINK("http://www.eum.go.kr/web/ar/lu/luLandDet.jsp?pnu=3611035031200380011&amp;isNoScr=script&amp;mode=search", "토지이음")</f>
        <v/>
      </c>
      <c r="O2651" s="3" t="inlineStr">
        <is>
          <t>로데오상가</t>
        </is>
      </c>
      <c r="P2651" s="4" t="n">
        <v>4</v>
      </c>
      <c r="Q2651" s="4" t="n">
        <v>1226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급경사</t>
        </is>
      </c>
      <c r="U2651" s="3" t="inlineStr">
        <is>
          <t>자루형</t>
        </is>
      </c>
      <c r="V2651" s="3" t="inlineStr">
        <is>
          <t>소로한면</t>
        </is>
      </c>
    </row>
    <row r="2652">
      <c r="A2652" s="3" t="inlineStr">
        <is>
          <t>장군면 송학리 산38-11</t>
        </is>
      </c>
      <c r="B2652" s="3" t="inlineStr">
        <is>
          <t>계획관리지역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107000</v>
      </c>
      <c r="G2652" s="4" t="n">
        <v>1226</v>
      </c>
      <c r="H2652" s="4" t="n">
        <v>371</v>
      </c>
      <c r="I2652" s="5" t="n">
        <v>288.4</v>
      </c>
      <c r="J2652" s="5" t="n">
        <v>9.6</v>
      </c>
      <c r="K2652" s="3" t="inlineStr">
        <is>
          <t>nan</t>
        </is>
      </c>
      <c r="L2652" s="6">
        <f>HYPERLINK("https://fin.land.naver.com/articles/2653655308", "매물Link")</f>
        <v/>
      </c>
      <c r="M2652" s="6">
        <f>HYPERLINK("https://map.naver.com/p/search/장군면 송학리 산38-11", "지도Link")</f>
        <v/>
      </c>
      <c r="N2652" s="6">
        <f>HYPERLINK("http://www.eum.go.kr/web/ar/lu/luLandDet.jsp?pnu=3611035031200380011&amp;isNoScr=script&amp;mode=search", "토지이음")</f>
        <v/>
      </c>
      <c r="O2652" s="3" t="inlineStr">
        <is>
          <t>세종몽땅</t>
        </is>
      </c>
      <c r="P2652" s="4" t="n">
        <v>1</v>
      </c>
      <c r="Q2652" s="4" t="n">
        <v>1226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급경사</t>
        </is>
      </c>
      <c r="U2652" s="3" t="inlineStr">
        <is>
          <t>자루형</t>
        </is>
      </c>
      <c r="V2652" s="3" t="inlineStr">
        <is>
          <t>소로한면</t>
        </is>
      </c>
    </row>
    <row r="2653">
      <c r="A2653" s="3" t="inlineStr">
        <is>
          <t>장군면 송학리 산38-11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107000</v>
      </c>
      <c r="G2653" s="4" t="n">
        <v>1226</v>
      </c>
      <c r="H2653" s="4" t="n">
        <v>371</v>
      </c>
      <c r="I2653" s="5" t="n">
        <v>288.4</v>
      </c>
      <c r="J2653" s="5" t="n">
        <v>9.6</v>
      </c>
      <c r="K2653" s="3" t="inlineStr">
        <is>
          <t>2차선 의당전의로 접한 계획관리지역 임야, 음식점 또는 커피숍 추천</t>
        </is>
      </c>
      <c r="L2653" s="6">
        <f>HYPERLINK("https://fin.land.naver.com/articles/2656486750", "매물Link")</f>
        <v/>
      </c>
      <c r="M2653" s="6">
        <f>HYPERLINK("https://map.naver.com/p/search/장군면 송학리 산38-11", "지도Link")</f>
        <v/>
      </c>
      <c r="N2653" s="6">
        <f>HYPERLINK("http://www.eum.go.kr/web/ar/lu/luLandDet.jsp?pnu=3611035031200380011&amp;isNoScr=script&amp;mode=search", "토지이음")</f>
        <v/>
      </c>
      <c r="O2653" s="3" t="inlineStr">
        <is>
          <t>온뜰</t>
        </is>
      </c>
      <c r="P2653" s="4" t="n">
        <v>1</v>
      </c>
      <c r="Q2653" s="4" t="n">
        <v>1226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급경사</t>
        </is>
      </c>
      <c r="U2653" s="3" t="inlineStr">
        <is>
          <t>자루형</t>
        </is>
      </c>
      <c r="V2653" s="3" t="inlineStr">
        <is>
          <t>소로한면</t>
        </is>
      </c>
    </row>
    <row r="2654">
      <c r="A2654" s="3" t="inlineStr">
        <is>
          <t>장군면 송학리 산43-1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2200000</v>
      </c>
      <c r="G2654" s="4" t="n">
        <v>101454</v>
      </c>
      <c r="H2654" s="4" t="n">
        <v>30690</v>
      </c>
      <c r="I2654" s="5" t="n">
        <v>71.7</v>
      </c>
      <c r="J2654" s="5" t="n">
        <v>4.6</v>
      </c>
      <c r="K2654" s="3" t="inlineStr">
        <is>
          <t>세종시 장군면 물류부지, 데이터센터 부지 대형 계획관리지역 급매</t>
        </is>
      </c>
      <c r="L2654" s="6">
        <f>HYPERLINK("https://fin.land.naver.com/articles/2654665886", "매물Link")</f>
        <v/>
      </c>
      <c r="M2654" s="6">
        <f>HYPERLINK("https://map.naver.com/p/search/장군면 송학리 산43-1", "지도Link")</f>
        <v/>
      </c>
      <c r="N2654" s="6">
        <f>HYPERLINK("http://www.eum.go.kr/web/ar/lu/luLandDet.jsp?pnu=3611035031200430001&amp;isNoScr=script&amp;mode=search", "토지이음")</f>
        <v/>
      </c>
      <c r="O2654" s="3" t="inlineStr">
        <is>
          <t>청담</t>
        </is>
      </c>
      <c r="P2654" s="4" t="n">
        <v>1</v>
      </c>
      <c r="Q2654" s="4" t="n">
        <v>62323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장군면 용암리 111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36000</v>
      </c>
      <c r="G2655" s="4" t="n">
        <v>541</v>
      </c>
      <c r="H2655" s="4" t="n">
        <v>164</v>
      </c>
      <c r="I2655" s="5" t="n">
        <v>219.5</v>
      </c>
      <c r="J2655" s="5" t="n">
        <v>33.8</v>
      </c>
      <c r="K2655" s="3" t="inlineStr">
        <is>
          <t>세종국가산단과 정안세종전용도로 사이에 2차선도로에 접한 토지이용도 최상</t>
        </is>
      </c>
      <c r="L2655" s="6">
        <f>HYPERLINK("https://fin.land.naver.com/articles/2652982238", "매물Link")</f>
        <v/>
      </c>
      <c r="M2655" s="6">
        <f>HYPERLINK("https://map.naver.com/p/search/장군면 용암리 111", "지도Link")</f>
        <v/>
      </c>
      <c r="N2655" s="6">
        <f>HYPERLINK("http://www.eum.go.kr/web/ar/lu/luLandDet.jsp?pnu=3611035033101110000&amp;isNoScr=script&amp;mode=search", "토지이음")</f>
        <v/>
      </c>
      <c r="O2655" s="3" t="inlineStr">
        <is>
          <t>온누리</t>
        </is>
      </c>
      <c r="P2655" s="4" t="n">
        <v>1</v>
      </c>
      <c r="Q2655" s="4" t="n">
        <v>541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장군면 용암리 111-3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45000</v>
      </c>
      <c r="G2656" s="4" t="n">
        <v>2020</v>
      </c>
      <c r="H2656" s="4" t="n">
        <v>611</v>
      </c>
      <c r="I2656" s="5" t="n">
        <v>73.59999999999999</v>
      </c>
      <c r="J2656" s="5" t="n">
        <v>21.7</v>
      </c>
      <c r="K2656" s="3" t="inlineStr">
        <is>
          <t>성장관리계획구역,  답, 충대병원 근거리, 국유지인접사용가능</t>
        </is>
      </c>
      <c r="L2656" s="6">
        <f>HYPERLINK("https://fin.land.naver.com/articles/2652534308", "매물Link")</f>
        <v/>
      </c>
      <c r="M2656" s="6">
        <f>HYPERLINK("https://map.naver.com/p/search/장군면 용암리 111-3", "지도Link")</f>
        <v/>
      </c>
      <c r="N2656" s="6">
        <f>HYPERLINK("http://www.eum.go.kr/web/ar/lu/luLandDet.jsp?pnu=3611035033101110003&amp;isNoScr=script&amp;mode=search", "토지이음")</f>
        <v/>
      </c>
      <c r="O2656" s="3" t="inlineStr">
        <is>
          <t>SK랜드</t>
        </is>
      </c>
      <c r="P2656" s="4" t="n">
        <v>1</v>
      </c>
      <c r="Q2656" s="4" t="n">
        <v>496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맹지</t>
        </is>
      </c>
    </row>
    <row r="2657">
      <c r="A2657" s="3" t="inlineStr">
        <is>
          <t>장군면 용암리 146-3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18000</v>
      </c>
      <c r="G2657" s="4" t="n">
        <v>367</v>
      </c>
      <c r="H2657" s="4" t="n">
        <v>111</v>
      </c>
      <c r="I2657" s="5" t="n">
        <v>162.2</v>
      </c>
      <c r="J2657" s="5" t="n">
        <v>33.2</v>
      </c>
      <c r="K2657" s="3" t="inlineStr">
        <is>
          <t>남향의 앞 조망 시원한 소액 토지</t>
        </is>
      </c>
      <c r="L2657" s="6">
        <f>HYPERLINK("https://fin.land.naver.com/articles/2654841451", "매물Link")</f>
        <v/>
      </c>
      <c r="M2657" s="6">
        <f>HYPERLINK("https://map.naver.com/p/search/장군면 용암리 146-3", "지도Link")</f>
        <v/>
      </c>
      <c r="N2657" s="6">
        <f>HYPERLINK("http://www.eum.go.kr/web/ar/lu/luLandDet.jsp?pnu=3611035033101460003&amp;isNoScr=script&amp;mode=search", "토지이음")</f>
        <v/>
      </c>
      <c r="O2657" s="3" t="inlineStr">
        <is>
          <t>용궁</t>
        </is>
      </c>
      <c r="P2657" s="4" t="n">
        <v>1</v>
      </c>
      <c r="Q2657" s="4" t="n">
        <v>367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장군면 용암리 166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284000</v>
      </c>
      <c r="G2658" s="4" t="n">
        <v>6264</v>
      </c>
      <c r="H2658" s="4" t="n">
        <v>1895</v>
      </c>
      <c r="I2658" s="5" t="n">
        <v>149.9</v>
      </c>
      <c r="J2658" s="5" t="n">
        <v>41.3</v>
      </c>
      <c r="K2658" s="3" t="inlineStr">
        <is>
          <t>제조업소, 창고, 주택, 농사용등 용도 다양한토지</t>
        </is>
      </c>
      <c r="L2658" s="6">
        <f>HYPERLINK("https://fin.land.naver.com/articles/2650893046", "매물Link")</f>
        <v/>
      </c>
      <c r="M2658" s="6">
        <f>HYPERLINK("https://map.naver.com/p/search/장군면 용암리 166", "지도Link")</f>
        <v/>
      </c>
      <c r="N2658" s="6">
        <f>HYPERLINK("http://www.eum.go.kr/web/ar/lu/luLandDet.jsp?pnu=3611035033101660000&amp;isNoScr=script&amp;mode=search", "토지이음")</f>
        <v/>
      </c>
      <c r="O2658" s="3" t="inlineStr">
        <is>
          <t>이은섭</t>
        </is>
      </c>
      <c r="P2658" s="4" t="n">
        <v>1</v>
      </c>
      <c r="Q2658" s="4" t="n">
        <v>1421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장군면 용암리 220</t>
        </is>
      </c>
      <c r="B2659" s="3" t="inlineStr">
        <is>
          <t>보전관리지역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16000</v>
      </c>
      <c r="G2659" s="4" t="n">
        <v>1702</v>
      </c>
      <c r="H2659" s="4" t="n">
        <v>515</v>
      </c>
      <c r="I2659" s="5" t="n">
        <v>31.1</v>
      </c>
      <c r="J2659" s="5" t="n">
        <v>27.8</v>
      </c>
      <c r="K2659" s="3" t="inlineStr">
        <is>
          <t>보전관리지역. 성장관계획구역 .국유지 지목 하천등과 인접 토지 매도</t>
        </is>
      </c>
      <c r="L2659" s="6">
        <f>HYPERLINK("https://fin.land.naver.com/articles/2651984900", "매물Link")</f>
        <v/>
      </c>
      <c r="M2659" s="6">
        <f>HYPERLINK("https://map.naver.com/p/search/장군면 용암리 220", "지도Link")</f>
        <v/>
      </c>
      <c r="N2659" s="6">
        <f>HYPERLINK("http://www.eum.go.kr/web/ar/lu/luLandDet.jsp?pnu=3611035033102200000&amp;isNoScr=script&amp;mode=search", "토지이음")</f>
        <v/>
      </c>
      <c r="O2659" s="3" t="inlineStr">
        <is>
          <t>오송퍼스트영웅</t>
        </is>
      </c>
      <c r="P2659" s="4" t="n">
        <v>1</v>
      </c>
      <c r="Q2659" s="4" t="n">
        <v>1702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용암리 340</t>
        </is>
      </c>
      <c r="B2660" s="3" t="inlineStr">
        <is>
          <t>생산관리지역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6500</v>
      </c>
      <c r="G2660" s="4" t="n">
        <v>674</v>
      </c>
      <c r="H2660" s="4" t="n">
        <v>204</v>
      </c>
      <c r="I2660" s="5" t="n">
        <v>31.9</v>
      </c>
      <c r="J2660" s="5" t="n">
        <v>30.7</v>
      </c>
      <c r="K2660" s="3" t="inlineStr">
        <is>
          <t>지목이 대, 급매, 협의절충, 공시지가로 매매</t>
        </is>
      </c>
      <c r="L2660" s="6">
        <f>HYPERLINK("https://fin.land.naver.com/articles/2654838549", "매물Link")</f>
        <v/>
      </c>
      <c r="M2660" s="6">
        <f>HYPERLINK("https://map.naver.com/p/search/장군면 용암리 340", "지도Link")</f>
        <v/>
      </c>
      <c r="N2660" s="6">
        <f>HYPERLINK("http://www.eum.go.kr/web/ar/lu/luLandDet.jsp?pnu=3611035033103400000&amp;isNoScr=script&amp;mode=search", "토지이음")</f>
        <v/>
      </c>
      <c r="O2660" s="3" t="inlineStr">
        <is>
          <t>세종한울</t>
        </is>
      </c>
      <c r="P2660" s="4" t="n">
        <v>1</v>
      </c>
      <c r="Q2660" s="4" t="n">
        <v>674</v>
      </c>
      <c r="R2660" s="3" t="inlineStr">
        <is>
          <t>지정되지않음</t>
        </is>
      </c>
      <c r="S2660" s="3" t="inlineStr">
        <is>
          <t>단독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용암리 359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20000</v>
      </c>
      <c r="G2661" s="4" t="n">
        <v>1458</v>
      </c>
      <c r="H2661" s="4" t="n">
        <v>441</v>
      </c>
      <c r="I2661" s="5" t="n">
        <v>45.4</v>
      </c>
      <c r="J2661" s="5" t="n">
        <v>17.1</v>
      </c>
      <c r="K2661" s="3" t="inlineStr">
        <is>
          <t>nan</t>
        </is>
      </c>
      <c r="L2661" s="6">
        <f>HYPERLINK("https://fin.land.naver.com/articles/2655277421", "매물Link")</f>
        <v/>
      </c>
      <c r="M2661" s="6">
        <f>HYPERLINK("https://map.naver.com/p/search/장군면 용암리 359", "지도Link")</f>
        <v/>
      </c>
      <c r="N2661" s="6">
        <f>HYPERLINK("http://www.eum.go.kr/web/ar/lu/luLandDet.jsp?pnu=3611035033103590000&amp;isNoScr=script&amp;mode=search", "토지이음")</f>
        <v/>
      </c>
      <c r="O2661" s="3" t="inlineStr">
        <is>
          <t>JK</t>
        </is>
      </c>
      <c r="P2661" s="4" t="n">
        <v>1</v>
      </c>
      <c r="Q2661" s="4" t="n">
        <v>1458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장군면 용암리 516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50000</v>
      </c>
      <c r="G2662" s="4" t="n">
        <v>1114</v>
      </c>
      <c r="H2662" s="4" t="n">
        <v>337</v>
      </c>
      <c r="I2662" s="5" t="n">
        <v>148.4</v>
      </c>
      <c r="J2662" s="5" t="n">
        <v>34.1</v>
      </c>
      <c r="K2662" s="3" t="inlineStr">
        <is>
          <t>투자용으로 가능</t>
        </is>
      </c>
      <c r="L2662" s="6">
        <f>HYPERLINK("https://fin.land.naver.com/articles/2652000650", "매물Link")</f>
        <v/>
      </c>
      <c r="M2662" s="6">
        <f>HYPERLINK("https://map.naver.com/p/search/장군면 용암리 516", "지도Link")</f>
        <v/>
      </c>
      <c r="N2662" s="6">
        <f>HYPERLINK("http://www.eum.go.kr/web/ar/lu/luLandDet.jsp?pnu=3611035033105160000&amp;isNoScr=script&amp;mode=search", "토지이음")</f>
        <v/>
      </c>
      <c r="O2662" s="3" t="inlineStr">
        <is>
          <t>세종시토지</t>
        </is>
      </c>
      <c r="P2662" s="4" t="n">
        <v>1</v>
      </c>
      <c r="Q2662" s="4" t="n">
        <v>1114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장군면 용암리 660-1</t>
        </is>
      </c>
      <c r="B2663" s="3" t="inlineStr">
        <is>
          <t>농림지역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68000</v>
      </c>
      <c r="G2663" s="4" t="n">
        <v>3022</v>
      </c>
      <c r="H2663" s="4" t="n">
        <v>914</v>
      </c>
      <c r="I2663" s="5" t="n">
        <v>74.40000000000001</v>
      </c>
      <c r="J2663" s="5" t="n">
        <v>17.1</v>
      </c>
      <c r="K2663" s="3" t="inlineStr">
        <is>
          <t>국가산업단지 인근 용암리 도로 접한 농림지역 농지 매매.</t>
        </is>
      </c>
      <c r="L2663" s="6">
        <f>HYPERLINK("https://fin.land.naver.com/articles/2653444885", "매물Link")</f>
        <v/>
      </c>
      <c r="M2663" s="6">
        <f>HYPERLINK("https://map.naver.com/p/search/장군면 용암리 660-1", "지도Link")</f>
        <v/>
      </c>
      <c r="N2663" s="6">
        <f>HYPERLINK("http://www.eum.go.kr/web/ar/lu/luLandDet.jsp?pnu=3611035033106600001&amp;isNoScr=script&amp;mode=search", "토지이음")</f>
        <v/>
      </c>
      <c r="O2663" s="3" t="inlineStr">
        <is>
          <t>세종대장</t>
        </is>
      </c>
      <c r="P2663" s="4" t="n">
        <v>1</v>
      </c>
      <c r="Q2663" s="4" t="n">
        <v>3002.9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세로장방</t>
        </is>
      </c>
      <c r="V2663" s="3" t="inlineStr">
        <is>
          <t>세로한면(가)</t>
        </is>
      </c>
    </row>
    <row r="2664">
      <c r="A2664" s="3" t="inlineStr">
        <is>
          <t>장군면 용암리 662-1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85000</v>
      </c>
      <c r="G2664" s="4" t="n">
        <v>3351</v>
      </c>
      <c r="H2664" s="4" t="n">
        <v>1014</v>
      </c>
      <c r="I2664" s="5" t="n">
        <v>83.8</v>
      </c>
      <c r="J2664" s="5" t="n">
        <v>16.9</v>
      </c>
      <c r="K2664" s="3" t="inlineStr">
        <is>
          <t>투자가치 최상</t>
        </is>
      </c>
      <c r="L2664" s="6">
        <f>HYPERLINK("https://fin.land.naver.com/articles/2652696158", "매물Link")</f>
        <v/>
      </c>
      <c r="M2664" s="6">
        <f>HYPERLINK("https://map.naver.com/p/search/장군면 용암리 662-1", "지도Link")</f>
        <v/>
      </c>
      <c r="N2664" s="6">
        <f>HYPERLINK("http://www.eum.go.kr/web/ar/lu/luLandDet.jsp?pnu=3611035033106620001&amp;isNoScr=script&amp;mode=search", "토지이음")</f>
        <v/>
      </c>
      <c r="O2664" s="3" t="inlineStr">
        <is>
          <t>새땅</t>
        </is>
      </c>
      <c r="P2664" s="4" t="n">
        <v>2</v>
      </c>
      <c r="Q2664" s="4" t="n">
        <v>3351.4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용암리 662-1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85000</v>
      </c>
      <c r="G2665" s="4" t="n">
        <v>3352</v>
      </c>
      <c r="H2665" s="4" t="n">
        <v>1014</v>
      </c>
      <c r="I2665" s="5" t="n">
        <v>83.8</v>
      </c>
      <c r="J2665" s="5" t="n">
        <v>16.9</v>
      </c>
      <c r="K2665" s="3" t="inlineStr">
        <is>
          <t>도로 길게 낀 토지</t>
        </is>
      </c>
      <c r="L2665" s="6">
        <f>HYPERLINK("https://fin.land.naver.com/articles/2653195565", "매물Link")</f>
        <v/>
      </c>
      <c r="M2665" s="6">
        <f>HYPERLINK("https://map.naver.com/p/search/장군면 용암리 662-1", "지도Link")</f>
        <v/>
      </c>
      <c r="N2665" s="6">
        <f>HYPERLINK("http://www.eum.go.kr/web/ar/lu/luLandDet.jsp?pnu=3611035033106620001&amp;isNoScr=script&amp;mode=search", "토지이음")</f>
        <v/>
      </c>
      <c r="O2665" s="3" t="inlineStr">
        <is>
          <t>THE행복</t>
        </is>
      </c>
      <c r="P2665" s="4" t="n">
        <v>1</v>
      </c>
      <c r="Q2665" s="4" t="n">
        <v>3351.4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세로한면(가)</t>
        </is>
      </c>
    </row>
    <row r="2666">
      <c r="A2666" s="3" t="inlineStr">
        <is>
          <t>장군면 용암리 668-1</t>
        </is>
      </c>
      <c r="B2666" s="3" t="inlineStr">
        <is>
          <t>생산관리지역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150000</v>
      </c>
      <c r="G2666" s="4" t="n">
        <v>3399</v>
      </c>
      <c r="H2666" s="4" t="n">
        <v>1028</v>
      </c>
      <c r="I2666" s="5" t="n">
        <v>145.9</v>
      </c>
      <c r="J2666" s="5" t="n">
        <v>34.7</v>
      </c>
      <c r="K2666" s="3" t="inlineStr">
        <is>
          <t>서세종 ic  근접 토지, 세종시 확장, 미래가치기대 ,주말농장등</t>
        </is>
      </c>
      <c r="L2666" s="6">
        <f>HYPERLINK("https://fin.land.naver.com/articles/2652360213", "매물Link")</f>
        <v/>
      </c>
      <c r="M2666" s="6">
        <f>HYPERLINK("https://map.naver.com/p/search/장군면 용암리 668-1", "지도Link")</f>
        <v/>
      </c>
      <c r="N2666" s="6">
        <f>HYPERLINK("http://www.eum.go.kr/web/ar/lu/luLandDet.jsp?pnu=3611035033106680001&amp;isNoScr=script&amp;mode=search", "토지이음")</f>
        <v/>
      </c>
      <c r="O2666" s="3" t="inlineStr">
        <is>
          <t>세종보물</t>
        </is>
      </c>
      <c r="P2666" s="4" t="n">
        <v>1</v>
      </c>
      <c r="Q2666" s="4" t="n">
        <v>2470.6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소로한면</t>
        </is>
      </c>
    </row>
    <row r="2667">
      <c r="A2667" s="3" t="inlineStr">
        <is>
          <t>장군면 용암리 668-1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140000</v>
      </c>
      <c r="G2667" s="4" t="n">
        <v>3399</v>
      </c>
      <c r="H2667" s="4" t="n">
        <v>1028</v>
      </c>
      <c r="I2667" s="5" t="n">
        <v>136.2</v>
      </c>
      <c r="J2667" s="5" t="n">
        <v>34.7</v>
      </c>
      <c r="K2667" s="3" t="inlineStr">
        <is>
          <t>2차선 접한 넓은 토지.</t>
        </is>
      </c>
      <c r="L2667" s="6">
        <f>HYPERLINK("https://fin.land.naver.com/articles/2651423050", "매물Link")</f>
        <v/>
      </c>
      <c r="M2667" s="6">
        <f>HYPERLINK("https://map.naver.com/p/search/장군면 용암리 668-1", "지도Link")</f>
        <v/>
      </c>
      <c r="N2667" s="6">
        <f>HYPERLINK("http://www.eum.go.kr/web/ar/lu/luLandDet.jsp?pnu=3611035033106680001&amp;isNoScr=script&amp;mode=search", "토지이음")</f>
        <v/>
      </c>
      <c r="O2667" s="3" t="inlineStr">
        <is>
          <t>세종소담114</t>
        </is>
      </c>
      <c r="P2667" s="4" t="n">
        <v>1</v>
      </c>
      <c r="Q2667" s="4" t="n">
        <v>2470.6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소로한면</t>
        </is>
      </c>
    </row>
    <row r="2668">
      <c r="A2668" s="3" t="inlineStr">
        <is>
          <t>장군면 용암리 79-3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181200</v>
      </c>
      <c r="G2668" s="4" t="n">
        <v>4991</v>
      </c>
      <c r="H2668" s="4" t="n">
        <v>1510</v>
      </c>
      <c r="I2668" s="5" t="n">
        <v>120</v>
      </c>
      <c r="J2668" s="5" t="n">
        <v>4.2</v>
      </c>
      <c r="K2668" s="3" t="inlineStr">
        <is>
          <t>분할매매 가능,2차선 도로접, 국가 산단예정지 근거리위치,</t>
        </is>
      </c>
      <c r="L2668" s="6">
        <f>HYPERLINK("https://fin.land.naver.com/articles/2651054083", "매물Link")</f>
        <v/>
      </c>
      <c r="M2668" s="6">
        <f>HYPERLINK("https://map.naver.com/p/search/장군면 용암리 79-3", "지도Link")</f>
        <v/>
      </c>
      <c r="N2668" s="6">
        <f>HYPERLINK("http://www.eum.go.kr/web/ar/lu/luLandDet.jsp?pnu=3611035033100790003&amp;isNoScr=script&amp;mode=search", "토지이음")</f>
        <v/>
      </c>
      <c r="O2668" s="3" t="inlineStr">
        <is>
          <t>담뜰</t>
        </is>
      </c>
      <c r="P2668" s="4" t="n">
        <v>1</v>
      </c>
      <c r="Q2668" s="4" t="n">
        <v>3879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소로한면</t>
        </is>
      </c>
    </row>
    <row r="2669">
      <c r="A2669" s="3" t="inlineStr">
        <is>
          <t>장군면 용암리 99</t>
        </is>
      </c>
      <c r="B2669" s="3" t="inlineStr">
        <is>
          <t>계획관리지역</t>
        </is>
      </c>
      <c r="C2669" s="3" t="inlineStr">
        <is>
          <t>목장용지</t>
        </is>
      </c>
      <c r="D2669" s="3" t="inlineStr">
        <is>
          <t>목장용지</t>
        </is>
      </c>
      <c r="E2669" s="3" t="inlineStr">
        <is>
          <t>매매</t>
        </is>
      </c>
      <c r="F2669" s="4" t="n">
        <v>170000</v>
      </c>
      <c r="G2669" s="4" t="n">
        <v>4277</v>
      </c>
      <c r="H2669" s="4" t="n">
        <v>1294</v>
      </c>
      <c r="I2669" s="5" t="n">
        <v>131.4</v>
      </c>
      <c r="J2669" s="5" t="n">
        <v>39.3</v>
      </c>
      <c r="K2669" s="3" t="inlineStr">
        <is>
          <t>목장가능. 소 젖소 말 가능,</t>
        </is>
      </c>
      <c r="L2669" s="6">
        <f>HYPERLINK("https://fin.land.naver.com/articles/2654227658", "매물Link")</f>
        <v/>
      </c>
      <c r="M2669" s="6">
        <f>HYPERLINK("https://map.naver.com/p/search/장군면 용암리 99", "지도Link")</f>
        <v/>
      </c>
      <c r="N2669" s="6">
        <f>HYPERLINK("http://www.eum.go.kr/web/ar/lu/luLandDet.jsp?pnu=3611035033100990000&amp;isNoScr=script&amp;mode=search", "토지이음")</f>
        <v/>
      </c>
      <c r="O2669" s="3" t="inlineStr">
        <is>
          <t>미스터홈즈강남지사</t>
        </is>
      </c>
      <c r="P2669" s="4" t="n">
        <v>1</v>
      </c>
      <c r="Q2669" s="4" t="n">
        <v>4129</v>
      </c>
      <c r="R2669" s="3" t="inlineStr">
        <is>
          <t>지정되지않음</t>
        </is>
      </c>
      <c r="S2669" s="3" t="inlineStr">
        <is>
          <t>답기타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장군면 용암리 산28-1</t>
        </is>
      </c>
      <c r="B2670" s="3" t="inlineStr">
        <is>
          <t>보전관리지역</t>
        </is>
      </c>
      <c r="C2670" s="3" t="inlineStr">
        <is>
          <t>임야</t>
        </is>
      </c>
      <c r="D2670" s="3" t="inlineStr">
        <is>
          <t>임야</t>
        </is>
      </c>
      <c r="E2670" s="3" t="inlineStr">
        <is>
          <t>매매</t>
        </is>
      </c>
      <c r="F2670" s="4" t="n">
        <v>18000</v>
      </c>
      <c r="G2670" s="4" t="n">
        <v>3955</v>
      </c>
      <c r="H2670" s="4" t="n">
        <v>1196</v>
      </c>
      <c r="I2670" s="5" t="n">
        <v>15.1</v>
      </c>
      <c r="J2670" s="5" t="n">
        <v>3.2</v>
      </c>
      <c r="K2670" s="3" t="inlineStr">
        <is>
          <t>국가산업단지 인근 보전관리지역, 준보전산지 임야로 현재 과수원이용.</t>
        </is>
      </c>
      <c r="L2670" s="6">
        <f>HYPERLINK("https://fin.land.naver.com/articles/2653618078", "매물Link")</f>
        <v/>
      </c>
      <c r="M2670" s="6">
        <f>HYPERLINK("https://map.naver.com/p/search/장군면 용암리 산28-1", "지도Link")</f>
        <v/>
      </c>
      <c r="N2670" s="6">
        <f>HYPERLINK("http://www.eum.go.kr/web/ar/lu/luLandDet.jsp?pnu=3611035033200280001&amp;isNoScr=script&amp;mode=search", "토지이음")</f>
        <v/>
      </c>
      <c r="O2670" s="3" t="inlineStr">
        <is>
          <t>세종대장</t>
        </is>
      </c>
      <c r="P2670" s="4" t="n">
        <v>1</v>
      </c>
      <c r="Q2670" s="4" t="n">
        <v>3955</v>
      </c>
      <c r="R2670" s="3" t="inlineStr">
        <is>
          <t>지정되지않음</t>
        </is>
      </c>
      <c r="S2670" s="3" t="inlineStr">
        <is>
          <t>자연림</t>
        </is>
      </c>
      <c r="T2670" s="3" t="inlineStr">
        <is>
          <t>급경사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장군면 용현리 100</t>
        </is>
      </c>
      <c r="B2671" s="3" t="inlineStr">
        <is>
          <t>계획관리지역</t>
        </is>
      </c>
      <c r="C2671" s="3" t="inlineStr">
        <is>
          <t>대</t>
        </is>
      </c>
      <c r="D2671" s="3" t="inlineStr">
        <is>
          <t>대</t>
        </is>
      </c>
      <c r="E2671" s="3" t="inlineStr">
        <is>
          <t>매매</t>
        </is>
      </c>
      <c r="F2671" s="4" t="n">
        <v>46000</v>
      </c>
      <c r="G2671" s="4" t="n">
        <v>500</v>
      </c>
      <c r="H2671" s="4" t="n">
        <v>151</v>
      </c>
      <c r="I2671" s="5" t="n">
        <v>304.6</v>
      </c>
      <c r="J2671" s="5" t="n">
        <v>82.5</v>
      </c>
      <c r="K2671" s="3" t="inlineStr">
        <is>
          <t>사정상급매 접근성좋아 위치좋음 입주가능한 농가구옥도있음 분할매매가능</t>
        </is>
      </c>
      <c r="L2671" s="6">
        <f>HYPERLINK("https://fin.land.naver.com/articles/2652992295", "매물Link")</f>
        <v/>
      </c>
      <c r="M2671" s="6">
        <f>HYPERLINK("https://map.naver.com/p/search/장군면 용현리 100", "지도Link")</f>
        <v/>
      </c>
      <c r="N2671" s="6">
        <f>HYPERLINK("http://www.eum.go.kr/web/ar/lu/luLandDet.jsp?pnu=3611035032101000000&amp;isNoScr=script&amp;mode=search", "토지이음")</f>
        <v/>
      </c>
      <c r="O2671" s="3" t="inlineStr">
        <is>
          <t>벽산마을</t>
        </is>
      </c>
      <c r="P2671" s="4" t="n">
        <v>1</v>
      </c>
      <c r="Q2671" s="4" t="n">
        <v>1002</v>
      </c>
      <c r="R2671" s="3" t="inlineStr">
        <is>
          <t>지정되지않음</t>
        </is>
      </c>
      <c r="S2671" s="3" t="inlineStr">
        <is>
          <t>단독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장군면 용현리 100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90000</v>
      </c>
      <c r="G2672" s="4" t="n">
        <v>1001</v>
      </c>
      <c r="H2672" s="4" t="n">
        <v>303</v>
      </c>
      <c r="I2672" s="5" t="n">
        <v>297</v>
      </c>
      <c r="J2672" s="5" t="n">
        <v>82.5</v>
      </c>
      <c r="K2672" s="3" t="inlineStr">
        <is>
          <t>nan</t>
        </is>
      </c>
      <c r="L2672" s="6">
        <f>HYPERLINK("https://fin.land.naver.com/articles/2651022729", "매물Link")</f>
        <v/>
      </c>
      <c r="M2672" s="6">
        <f>HYPERLINK("https://map.naver.com/p/search/장군면 용현리 100", "지도Link")</f>
        <v/>
      </c>
      <c r="N2672" s="6">
        <f>HYPERLINK("http://www.eum.go.kr/web/ar/lu/luLandDet.jsp?pnu=3611035032101000000&amp;isNoScr=script&amp;mode=search", "토지이음")</f>
        <v/>
      </c>
      <c r="O2672" s="3" t="inlineStr">
        <is>
          <t>비타민무소</t>
        </is>
      </c>
      <c r="P2672" s="4" t="n">
        <v>1</v>
      </c>
      <c r="Q2672" s="4" t="n">
        <v>1002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장군면 용현리 234-1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80000</v>
      </c>
      <c r="G2673" s="4" t="n">
        <v>3221</v>
      </c>
      <c r="H2673" s="4" t="n">
        <v>974</v>
      </c>
      <c r="I2673" s="5" t="n">
        <v>82.09999999999999</v>
      </c>
      <c r="J2673" s="5" t="n">
        <v>22.7</v>
      </c>
      <c r="K2673" s="3" t="inlineStr">
        <is>
          <t>세종ic인근 토지</t>
        </is>
      </c>
      <c r="L2673" s="6">
        <f>HYPERLINK("https://fin.land.naver.com/articles/2651170643", "매물Link")</f>
        <v/>
      </c>
      <c r="M2673" s="6">
        <f>HYPERLINK("https://map.naver.com/p/search/장군면 용현리 234-1", "지도Link")</f>
        <v/>
      </c>
      <c r="N2673" s="6">
        <f>HYPERLINK("http://www.eum.go.kr/web/ar/lu/luLandDet.jsp?pnu=3611035032102340001&amp;isNoScr=script&amp;mode=search", "토지이음")</f>
        <v/>
      </c>
      <c r="O2673" s="3" t="inlineStr">
        <is>
          <t>드림</t>
        </is>
      </c>
      <c r="P2673" s="4" t="n">
        <v>1</v>
      </c>
      <c r="Q2673" s="4" t="n">
        <v>3221.9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장군면 용현리 256-1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25000</v>
      </c>
      <c r="G2674" s="4" t="n">
        <v>1021</v>
      </c>
      <c r="H2674" s="4" t="n">
        <v>309</v>
      </c>
      <c r="I2674" s="5" t="n">
        <v>80.90000000000001</v>
      </c>
      <c r="J2674" s="5" t="n">
        <v>26.5</v>
      </c>
      <c r="K2674" s="3" t="inlineStr">
        <is>
          <t>대토추천. 구거접. 포장된 현황도로</t>
        </is>
      </c>
      <c r="L2674" s="6">
        <f>HYPERLINK("https://fin.land.naver.com/articles/2652038803", "매물Link")</f>
        <v/>
      </c>
      <c r="M2674" s="6">
        <f>HYPERLINK("https://map.naver.com/p/search/장군면 용현리 256-1", "지도Link")</f>
        <v/>
      </c>
      <c r="N2674" s="6">
        <f>HYPERLINK("http://www.eum.go.kr/web/ar/lu/luLandDet.jsp?pnu=3611035032102560001&amp;isNoScr=script&amp;mode=search", "토지이음")</f>
        <v/>
      </c>
      <c r="O2674" s="3" t="inlineStr">
        <is>
          <t>미스터홈즈강남지사</t>
        </is>
      </c>
      <c r="P2674" s="4" t="n">
        <v>1</v>
      </c>
      <c r="Q2674" s="4" t="n">
        <v>1021.2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용현리 84</t>
        </is>
      </c>
      <c r="B2675" s="3" t="inlineStr">
        <is>
          <t>계획관리지역</t>
        </is>
      </c>
      <c r="C2675" s="3" t="inlineStr">
        <is>
          <t>대</t>
        </is>
      </c>
      <c r="D2675" s="3" t="inlineStr">
        <is>
          <t>대</t>
        </is>
      </c>
      <c r="E2675" s="3" t="inlineStr">
        <is>
          <t>매매</t>
        </is>
      </c>
      <c r="F2675" s="4" t="n">
        <v>58000</v>
      </c>
      <c r="G2675" s="4" t="n">
        <v>1269</v>
      </c>
      <c r="H2675" s="4" t="n">
        <v>384</v>
      </c>
      <c r="I2675" s="5" t="n">
        <v>151</v>
      </c>
      <c r="J2675" s="5" t="n">
        <v>64.09999999999999</v>
      </c>
      <c r="K2675" s="3" t="inlineStr">
        <is>
          <t>계획관리 대지 매매함</t>
        </is>
      </c>
      <c r="L2675" s="6">
        <f>HYPERLINK("https://fin.land.naver.com/articles/2652621736", "매물Link")</f>
        <v/>
      </c>
      <c r="M2675" s="6">
        <f>HYPERLINK("https://map.naver.com/p/search/장군면 용현리 84", "지도Link")</f>
        <v/>
      </c>
      <c r="N2675" s="6">
        <f>HYPERLINK("http://www.eum.go.kr/web/ar/lu/luLandDet.jsp?pnu=3611035032100840000&amp;isNoScr=script&amp;mode=search", "토지이음")</f>
        <v/>
      </c>
      <c r="O2675" s="3" t="inlineStr">
        <is>
          <t>강나루</t>
        </is>
      </c>
      <c r="P2675" s="4" t="n">
        <v>1</v>
      </c>
      <c r="Q2675" s="4" t="n">
        <v>1269</v>
      </c>
      <c r="R2675" s="3" t="inlineStr">
        <is>
          <t>지정되지않음</t>
        </is>
      </c>
      <c r="S2675" s="3" t="inlineStr">
        <is>
          <t>단독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용현리 86-1</t>
        </is>
      </c>
      <c r="B2676" s="3" t="inlineStr">
        <is>
          <t>계획관리지역</t>
        </is>
      </c>
      <c r="C2676" s="3" t="inlineStr">
        <is>
          <t>대</t>
        </is>
      </c>
      <c r="D2676" s="3" t="inlineStr">
        <is>
          <t>대</t>
        </is>
      </c>
      <c r="E2676" s="3" t="inlineStr">
        <is>
          <t>매매</t>
        </is>
      </c>
      <c r="F2676" s="4" t="n">
        <v>170000</v>
      </c>
      <c r="G2676" s="4" t="n">
        <v>3537</v>
      </c>
      <c r="H2676" s="4" t="n">
        <v>1070</v>
      </c>
      <c r="I2676" s="5" t="n">
        <v>158.9</v>
      </c>
      <c r="J2676" s="5" t="n">
        <v>64.09999999999999</v>
      </c>
      <c r="K2676" s="3" t="inlineStr">
        <is>
          <t>4차선도로 진입로 옆 토지 서울세종고속도로와 세종IC 가까움</t>
        </is>
      </c>
      <c r="L2676" s="6">
        <f>HYPERLINK("https://fin.land.naver.com/articles/2655916235", "매물Link")</f>
        <v/>
      </c>
      <c r="M2676" s="6">
        <f>HYPERLINK("https://map.naver.com/p/search/장군면 용현리 86-1", "지도Link")</f>
        <v/>
      </c>
      <c r="N2676" s="6">
        <f>HYPERLINK("http://www.eum.go.kr/web/ar/lu/luLandDet.jsp?pnu=3611035032100860001&amp;isNoScr=script&amp;mode=search", "토지이음")</f>
        <v/>
      </c>
      <c r="O2676" s="3" t="inlineStr">
        <is>
          <t>바다하리</t>
        </is>
      </c>
      <c r="P2676" s="4" t="n">
        <v>1</v>
      </c>
      <c r="Q2676" s="4" t="n">
        <v>2258</v>
      </c>
      <c r="R2676" s="3" t="inlineStr">
        <is>
          <t>지정되지않음</t>
        </is>
      </c>
      <c r="S2676" s="3" t="inlineStr">
        <is>
          <t>단독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용현리 98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25000</v>
      </c>
      <c r="G2677" s="4" t="n">
        <v>367</v>
      </c>
      <c r="H2677" s="4" t="n">
        <v>111</v>
      </c>
      <c r="I2677" s="5" t="n">
        <v>225.2</v>
      </c>
      <c r="J2677" s="5" t="n">
        <v>61.5</v>
      </c>
      <c r="K2677" s="3" t="inlineStr">
        <is>
          <t>급매,도로접 계획관리지역,아늑한 마을 막힘없는 위치,세종시5분거리</t>
        </is>
      </c>
      <c r="L2677" s="6">
        <f>HYPERLINK("https://fin.land.naver.com/articles/2651744795", "매물Link")</f>
        <v/>
      </c>
      <c r="M2677" s="6">
        <f>HYPERLINK("https://map.naver.com/p/search/장군면 용현리 98", "지도Link")</f>
        <v/>
      </c>
      <c r="N2677" s="6">
        <f>HYPERLINK("http://www.eum.go.kr/web/ar/lu/luLandDet.jsp?pnu=3611035032100980000&amp;isNoScr=script&amp;mode=search",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367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세로각지(가)</t>
        </is>
      </c>
    </row>
    <row r="2678">
      <c r="A2678" s="3" t="inlineStr">
        <is>
          <t>장군면 은용리 107-5</t>
        </is>
      </c>
      <c r="B2678" s="3" t="inlineStr">
        <is>
          <t>계획관리지역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월세</t>
        </is>
      </c>
      <c r="F2678" s="4" t="n">
        <v>10000</v>
      </c>
      <c r="G2678" s="4" t="n">
        <v>1443</v>
      </c>
      <c r="H2678" s="4" t="n">
        <v>437</v>
      </c>
      <c r="I2678" s="5" t="n">
        <v>1.8</v>
      </c>
      <c r="J2678" s="5" t="n">
        <v>233.5</v>
      </c>
      <c r="K2678" s="3" t="inlineStr">
        <is>
          <t>세종강남, 1.2층사무실사용 대형주차장 확보, 서세종IC인근</t>
        </is>
      </c>
      <c r="L2678" s="6">
        <f>HYPERLINK("https://fin.land.naver.com/articles/2652586785", "매물Link")</f>
        <v/>
      </c>
      <c r="M2678" s="6">
        <f>HYPERLINK("https://map.naver.com/p/search/장군면 은용리 107-5", "지도Link")</f>
        <v/>
      </c>
      <c r="N2678" s="6">
        <f>HYPERLINK("http://www.eum.go.kr/web/ar/lu/luLandDet.jsp?pnu=3611035027101070005&amp;isNoScr=script&amp;mode=search", "토지이음")</f>
        <v/>
      </c>
      <c r="O2678" s="3" t="inlineStr">
        <is>
          <t>세종강남</t>
        </is>
      </c>
      <c r="P2678" s="4" t="n">
        <v>1</v>
      </c>
      <c r="Q2678" s="4" t="n">
        <v>1443</v>
      </c>
      <c r="R2678" s="3" t="inlineStr">
        <is>
          <t>지정되지않음</t>
        </is>
      </c>
      <c r="S2678" s="3" t="inlineStr">
        <is>
          <t>상업용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세로한면(가)</t>
        </is>
      </c>
    </row>
    <row r="2679">
      <c r="A2679" s="3" t="inlineStr">
        <is>
          <t>장군면 은용리 111-13</t>
        </is>
      </c>
      <c r="B2679" s="3" t="inlineStr">
        <is>
          <t>계획관리지역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211</v>
      </c>
      <c r="H2679" s="4" t="n">
        <v>64</v>
      </c>
      <c r="I2679" s="5" t="n">
        <v>312.5</v>
      </c>
      <c r="J2679" s="5" t="n">
        <v>231.5</v>
      </c>
      <c r="K2679" s="3" t="inlineStr">
        <is>
          <t>세종 장군면 전원생활을 꿈꾸는 분께 추천하는 토지</t>
        </is>
      </c>
      <c r="L2679" s="6">
        <f>HYPERLINK("https://fin.land.naver.com/articles/2655622026", "매물Link")</f>
        <v/>
      </c>
      <c r="M2679" s="6">
        <f>HYPERLINK("https://map.naver.com/p/search/장군면 은용리 111-13", "지도Link")</f>
        <v/>
      </c>
      <c r="N2679" s="6">
        <f>HYPERLINK("http://www.eum.go.kr/web/ar/lu/luLandDet.jsp?pnu=3611035027101110013&amp;isNoScr=script&amp;mode=search", "토지이음")</f>
        <v/>
      </c>
      <c r="O2679" s="3" t="inlineStr">
        <is>
          <t>세종몽땅</t>
        </is>
      </c>
      <c r="P2679" s="4" t="n">
        <v>1</v>
      </c>
      <c r="Q2679" s="4" t="n">
        <v>211</v>
      </c>
      <c r="R2679" s="3" t="inlineStr">
        <is>
          <t>지정되지않음</t>
        </is>
      </c>
      <c r="S2679" s="3" t="inlineStr">
        <is>
          <t>주거기타</t>
        </is>
      </c>
      <c r="T2679" s="3" t="inlineStr">
        <is>
          <t>평지</t>
        </is>
      </c>
      <c r="U2679" s="3" t="inlineStr">
        <is>
          <t>가로장방</t>
        </is>
      </c>
      <c r="V2679" s="3" t="inlineStr">
        <is>
          <t>세로한면(가)</t>
        </is>
      </c>
    </row>
    <row r="2680">
      <c r="A2680" s="3" t="inlineStr">
        <is>
          <t>장군면 은용리 112-25</t>
        </is>
      </c>
      <c r="B2680" s="3" t="inlineStr">
        <is>
          <t>계획관리지역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60000</v>
      </c>
      <c r="G2680" s="4" t="n">
        <v>400</v>
      </c>
      <c r="H2680" s="4" t="n">
        <v>121</v>
      </c>
      <c r="I2680" s="5" t="n">
        <v>495.9</v>
      </c>
      <c r="J2680" s="5" t="n">
        <v>139.5</v>
      </c>
      <c r="K2680" s="3" t="inlineStr">
        <is>
          <t>급매. 장군면 투자용 계획관리토지</t>
        </is>
      </c>
      <c r="L2680" s="6">
        <f>HYPERLINK("https://fin.land.naver.com/articles/2651921996", "매물Link")</f>
        <v/>
      </c>
      <c r="M2680" s="6">
        <f>HYPERLINK("https://map.naver.com/p/search/장군면 은용리 112-25", "지도Link")</f>
        <v/>
      </c>
      <c r="N2680" s="6">
        <f>HYPERLINK("http://www.eum.go.kr/web/ar/lu/luLandDet.jsp?pnu=3611035027101120025&amp;isNoScr=script&amp;mode=search", "토지이음")</f>
        <v/>
      </c>
      <c r="O2680" s="3" t="inlineStr">
        <is>
          <t>강아지풀</t>
        </is>
      </c>
      <c r="P2680" s="4" t="n">
        <v>1</v>
      </c>
      <c r="Q2680" s="4" t="n">
        <v>400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가로장방</t>
        </is>
      </c>
      <c r="V2680" s="3" t="inlineStr">
        <is>
          <t>세로한면(가)</t>
        </is>
      </c>
    </row>
    <row r="2681">
      <c r="A2681" s="3" t="inlineStr">
        <is>
          <t>장군면 은용리 112-32</t>
        </is>
      </c>
      <c r="B2681" s="3" t="inlineStr">
        <is>
          <t>계획관리지역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112000</v>
      </c>
      <c r="G2681" s="4" t="n">
        <v>1323</v>
      </c>
      <c r="H2681" s="4" t="n">
        <v>400</v>
      </c>
      <c r="I2681" s="5" t="n">
        <v>280</v>
      </c>
      <c r="J2681" s="5" t="n">
        <v>132.5</v>
      </c>
      <c r="K2681" s="3" t="inlineStr">
        <is>
          <t>투자가치 있는곳</t>
        </is>
      </c>
      <c r="L2681" s="6">
        <f>HYPERLINK("https://fin.land.naver.com/articles/2656547657", "매물Link")</f>
        <v/>
      </c>
      <c r="M2681" s="6">
        <f>HYPERLINK("https://map.naver.com/p/search/장군면 은용리 112-32", "지도Link")</f>
        <v/>
      </c>
      <c r="N2681" s="6">
        <f>HYPERLINK("http://www.eum.go.kr/web/ar/lu/luLandDet.jsp?pnu=3611035027101120032&amp;isNoScr=script&amp;mode=search", "토지이음")</f>
        <v/>
      </c>
      <c r="O2681" s="3" t="inlineStr">
        <is>
          <t>세종대평</t>
        </is>
      </c>
      <c r="P2681" s="4" t="n">
        <v>1</v>
      </c>
      <c r="Q2681" s="4" t="n">
        <v>1323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장군면 은용리 156-4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15000</v>
      </c>
      <c r="G2682" s="4" t="n">
        <v>1295</v>
      </c>
      <c r="H2682" s="4" t="n">
        <v>392</v>
      </c>
      <c r="I2682" s="5" t="n">
        <v>38.3</v>
      </c>
      <c r="J2682" s="5" t="n">
        <v>52</v>
      </c>
      <c r="K2682" s="3" t="inlineStr">
        <is>
          <t>급매,3면 도로접한 농림지역,텃밭,주말농장</t>
        </is>
      </c>
      <c r="L2682" s="6">
        <f>HYPERLINK("https://fin.land.naver.com/articles/2653220009", "매물Link")</f>
        <v/>
      </c>
      <c r="M2682" s="6">
        <f>HYPERLINK("https://map.naver.com/p/search/장군면 은용리 156-4", "지도Link")</f>
        <v/>
      </c>
      <c r="N2682" s="6">
        <f>HYPERLINK("http://www.eum.go.kr/web/ar/lu/luLandDet.jsp?pnu=3611035027101560004&amp;isNoScr=script&amp;mode=search", "토지이음")</f>
        <v/>
      </c>
      <c r="O2682" s="3" t="inlineStr">
        <is>
          <t>고운맘</t>
        </is>
      </c>
      <c r="P2682" s="4" t="n">
        <v>1</v>
      </c>
      <c r="Q2682" s="4" t="n">
        <v>1295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장군면 은용리 326</t>
        </is>
      </c>
      <c r="B2683" s="3" t="inlineStr">
        <is>
          <t>계획관리지역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26750</v>
      </c>
      <c r="G2683" s="4" t="n">
        <v>355</v>
      </c>
      <c r="H2683" s="4" t="n">
        <v>107</v>
      </c>
      <c r="I2683" s="5" t="n">
        <v>250</v>
      </c>
      <c r="J2683" s="5" t="n">
        <v>119.2</v>
      </c>
      <c r="K2683" s="3" t="inlineStr">
        <is>
          <t>장군면 은용리 소액 토지 매매</t>
        </is>
      </c>
      <c r="L2683" s="6">
        <f>HYPERLINK("https://fin.land.naver.com/articles/2653813143", "매물Link")</f>
        <v/>
      </c>
      <c r="M2683" s="6">
        <f>HYPERLINK("https://map.naver.com/p/search/장군면 은용리 326", "지도Link")</f>
        <v/>
      </c>
      <c r="N2683" s="6">
        <f>HYPERLINK("http://www.eum.go.kr/web/ar/lu/luLandDet.jsp?pnu=3611035027103260000&amp;isNoScr=script&amp;mode=search", "토지이음")</f>
        <v/>
      </c>
      <c r="O2683" s="3" t="inlineStr">
        <is>
          <t>뉴스카이</t>
        </is>
      </c>
      <c r="P2683" s="4" t="n">
        <v>1</v>
      </c>
      <c r="Q2683" s="4" t="n">
        <v>355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세로장방</t>
        </is>
      </c>
      <c r="V2683" s="3" t="inlineStr">
        <is>
          <t>세로한면(불)</t>
        </is>
      </c>
    </row>
    <row r="2684">
      <c r="A2684" s="3" t="inlineStr">
        <is>
          <t>장군면 은용리 419-1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206000</v>
      </c>
      <c r="G2684" s="4" t="n">
        <v>3243</v>
      </c>
      <c r="H2684" s="4" t="n">
        <v>981</v>
      </c>
      <c r="I2684" s="5" t="n">
        <v>210</v>
      </c>
      <c r="J2684" s="5" t="n">
        <v>57.9</v>
      </c>
      <c r="K2684" s="3" t="inlineStr">
        <is>
          <t>은용리 계획관리지역 토지매매12분할매매 가능</t>
        </is>
      </c>
      <c r="L2684" s="6">
        <f>HYPERLINK("https://fin.land.naver.com/articles/2652043086", "매물Link")</f>
        <v/>
      </c>
      <c r="M2684" s="6">
        <f>HYPERLINK("https://map.naver.com/p/search/장군면 은용리 419-1", "지도Link")</f>
        <v/>
      </c>
      <c r="N2684" s="6">
        <f>HYPERLINK("http://www.eum.go.kr/web/ar/lu/luLandDet.jsp?pnu=3611035027104190001&amp;isNoScr=script&amp;mode=search", "토지이음")</f>
        <v/>
      </c>
      <c r="O2684" s="3" t="inlineStr">
        <is>
          <t>에이스</t>
        </is>
      </c>
      <c r="P2684" s="4" t="n">
        <v>1</v>
      </c>
      <c r="Q2684" s="4" t="n">
        <v>3243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은용리 459-2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49500</v>
      </c>
      <c r="G2685" s="4" t="n">
        <v>711</v>
      </c>
      <c r="H2685" s="4" t="n">
        <v>215</v>
      </c>
      <c r="I2685" s="5" t="n">
        <v>230.2</v>
      </c>
      <c r="J2685" s="5" t="n">
        <v>107.5</v>
      </c>
      <c r="K2685" s="3" t="inlineStr">
        <is>
          <t>지대가 높아서 조망 훤히 트임,도로지분별도</t>
        </is>
      </c>
      <c r="L2685" s="6">
        <f>HYPERLINK("https://fin.land.naver.com/articles/2654991193", "매물Link")</f>
        <v/>
      </c>
      <c r="M2685" s="6">
        <f>HYPERLINK("https://map.naver.com/p/search/장군면 은용리 459-2", "지도Link")</f>
        <v/>
      </c>
      <c r="N2685" s="6">
        <f>HYPERLINK("http://www.eum.go.kr/web/ar/lu/luLandDet.jsp?pnu=3611035027104590002&amp;isNoScr=script&amp;mode=search", "토지이음")</f>
        <v/>
      </c>
      <c r="O2685" s="3" t="inlineStr">
        <is>
          <t>세종공주제일</t>
        </is>
      </c>
      <c r="P2685" s="4" t="n">
        <v>1</v>
      </c>
      <c r="Q2685" s="4" t="n">
        <v>711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은용리 459-2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53750</v>
      </c>
      <c r="G2686" s="4" t="n">
        <v>711</v>
      </c>
      <c r="H2686" s="4" t="n">
        <v>215</v>
      </c>
      <c r="I2686" s="5" t="n">
        <v>250</v>
      </c>
      <c r="J2686" s="5" t="n">
        <v>107.5</v>
      </c>
      <c r="K2686" s="3" t="inlineStr">
        <is>
          <t>계획관리,성장관리 투자용 좋음</t>
        </is>
      </c>
      <c r="L2686" s="6">
        <f>HYPERLINK("https://fin.land.naver.com/articles/2653126167", "매물Link")</f>
        <v/>
      </c>
      <c r="M2686" s="6">
        <f>HYPERLINK("https://map.naver.com/p/search/장군면 은용리 459-2", "지도Link")</f>
        <v/>
      </c>
      <c r="N2686" s="6">
        <f>HYPERLINK("http://www.eum.go.kr/web/ar/lu/luLandDet.jsp?pnu=3611035027104590002&amp;isNoScr=script&amp;mode=search", "토지이음")</f>
        <v/>
      </c>
      <c r="O2686" s="3" t="inlineStr">
        <is>
          <t>킹</t>
        </is>
      </c>
      <c r="P2686" s="4" t="n">
        <v>1</v>
      </c>
      <c r="Q2686" s="4" t="n">
        <v>711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장군면 은용리 82</t>
        </is>
      </c>
      <c r="B2687" s="3" t="inlineStr">
        <is>
          <t>계획관리지역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1473000</v>
      </c>
      <c r="G2687" s="4" t="n">
        <v>3246</v>
      </c>
      <c r="H2687" s="4" t="n">
        <v>982</v>
      </c>
      <c r="I2687" s="5" t="n">
        <v>1500</v>
      </c>
      <c r="J2687" s="5" t="n">
        <v>148.3</v>
      </c>
      <c r="K2687" s="3" t="inlineStr">
        <is>
          <t>노출효과 좋은 자리 선점하세요</t>
        </is>
      </c>
      <c r="L2687" s="6">
        <f>HYPERLINK("https://fin.land.naver.com/articles/2654845652", "매물Link")</f>
        <v/>
      </c>
      <c r="M2687" s="6">
        <f>HYPERLINK("https://map.naver.com/p/search/장군면 은용리 82", "지도Link")</f>
        <v/>
      </c>
      <c r="N2687" s="6">
        <f>HYPERLINK("http://www.eum.go.kr/web/ar/lu/luLandDet.jsp?pnu=3611035027100820000&amp;isNoScr=script&amp;mode=search", "토지이음")</f>
        <v/>
      </c>
      <c r="O2687" s="3" t="inlineStr">
        <is>
          <t>세종대평</t>
        </is>
      </c>
      <c r="P2687" s="4" t="n">
        <v>1</v>
      </c>
      <c r="Q2687" s="4" t="n">
        <v>1991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장군면 은용리 82</t>
        </is>
      </c>
      <c r="B2688" s="3" t="inlineStr">
        <is>
          <t>계획관리지역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1473000</v>
      </c>
      <c r="G2688" s="4" t="n">
        <v>3246</v>
      </c>
      <c r="H2688" s="4" t="n">
        <v>982</v>
      </c>
      <c r="I2688" s="5" t="n">
        <v>1500</v>
      </c>
      <c r="J2688" s="5" t="n">
        <v>148.3</v>
      </c>
      <c r="K2688" s="3" t="inlineStr">
        <is>
          <t>은용리 일대 3필지(전) 평당 1500만원 매매</t>
        </is>
      </c>
      <c r="L2688" s="6">
        <f>HYPERLINK("https://fin.land.naver.com/articles/2654379502", "매물Link")</f>
        <v/>
      </c>
      <c r="M2688" s="6">
        <f>HYPERLINK("https://map.naver.com/p/search/장군면 은용리 82", "지도Link")</f>
        <v/>
      </c>
      <c r="N2688" s="6">
        <f>HYPERLINK("http://www.eum.go.kr/web/ar/lu/luLandDet.jsp?pnu=3611035027100820000&amp;isNoScr=script&amp;mode=search", "토지이음")</f>
        <v/>
      </c>
      <c r="O2688" s="3" t="inlineStr">
        <is>
          <t>수자인시티</t>
        </is>
      </c>
      <c r="P2688" s="4" t="n">
        <v>2</v>
      </c>
      <c r="Q2688" s="4" t="n">
        <v>1991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소로한면</t>
        </is>
      </c>
    </row>
    <row r="2689">
      <c r="A2689" s="3" t="inlineStr">
        <is>
          <t>장군면 은용리 82</t>
        </is>
      </c>
      <c r="B2689" s="3" t="inlineStr">
        <is>
          <t>계획관리지역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1473000</v>
      </c>
      <c r="G2689" s="4" t="n">
        <v>3246</v>
      </c>
      <c r="H2689" s="4" t="n">
        <v>982</v>
      </c>
      <c r="I2689" s="5" t="n">
        <v>1500</v>
      </c>
      <c r="J2689" s="5" t="n">
        <v>148.3</v>
      </c>
      <c r="K2689" s="3" t="inlineStr">
        <is>
          <t>6차선 도로접,위치 좋은 근생부지, 서비스센터부지 추천 ,</t>
        </is>
      </c>
      <c r="L2689" s="6">
        <f>HYPERLINK("https://fin.land.naver.com/articles/2652752326", "매물Link")</f>
        <v/>
      </c>
      <c r="M2689" s="6">
        <f>HYPERLINK("https://map.naver.com/p/search/장군면 은용리 82", "지도Link")</f>
        <v/>
      </c>
      <c r="N2689" s="6">
        <f>HYPERLINK("http://www.eum.go.kr/web/ar/lu/luLandDet.jsp?pnu=3611035027100820000&amp;isNoScr=script&amp;mode=search", "토지이음")</f>
        <v/>
      </c>
      <c r="O2689" s="3" t="inlineStr">
        <is>
          <t>담뜰</t>
        </is>
      </c>
      <c r="P2689" s="4" t="n">
        <v>2</v>
      </c>
      <c r="Q2689" s="4" t="n">
        <v>1991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소로한면</t>
        </is>
      </c>
    </row>
    <row r="2690">
      <c r="A2690" s="3" t="inlineStr">
        <is>
          <t>장군면 은용리 82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1473000</v>
      </c>
      <c r="G2690" s="4" t="n">
        <v>3246</v>
      </c>
      <c r="H2690" s="4" t="n">
        <v>982</v>
      </c>
      <c r="I2690" s="5" t="n">
        <v>1500</v>
      </c>
      <c r="J2690" s="5" t="n">
        <v>148.3</v>
      </c>
      <c r="K2690" s="3" t="inlineStr">
        <is>
          <t>왕복6차선 도로접 계획관리.성장관리 토지</t>
        </is>
      </c>
      <c r="L2690" s="6">
        <f>HYPERLINK("https://fin.land.naver.com/articles/2650933064", "매물Link")</f>
        <v/>
      </c>
      <c r="M2690" s="6">
        <f>HYPERLINK("https://map.naver.com/p/search/장군면 은용리 82", "지도Link")</f>
        <v/>
      </c>
      <c r="N2690" s="6">
        <f>HYPERLINK("http://www.eum.go.kr/web/ar/lu/luLandDet.jsp?pnu=3611035027100820000&amp;isNoScr=script&amp;mode=search", "토지이음")</f>
        <v/>
      </c>
      <c r="O2690" s="3" t="inlineStr">
        <is>
          <t>법조연합은온</t>
        </is>
      </c>
      <c r="P2690" s="4" t="n">
        <v>1</v>
      </c>
      <c r="Q2690" s="4" t="n">
        <v>1991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장군면 은용리 9-4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115000</v>
      </c>
      <c r="G2691" s="4" t="n">
        <v>2990</v>
      </c>
      <c r="H2691" s="4" t="n">
        <v>904</v>
      </c>
      <c r="I2691" s="5" t="n">
        <v>127.2</v>
      </c>
      <c r="J2691" s="5" t="n">
        <v>55.8</v>
      </c>
      <c r="K2691" s="3" t="inlineStr">
        <is>
          <t>향후 지가 상승 기대 대토용 토지 모든 조건 맞춰드립니다</t>
        </is>
      </c>
      <c r="L2691" s="6">
        <f>HYPERLINK("https://fin.land.naver.com/articles/2654678612", "매물Link")</f>
        <v/>
      </c>
      <c r="M2691" s="6">
        <f>HYPERLINK("https://map.naver.com/p/search/장군면 은용리 9-4", "지도Link")</f>
        <v/>
      </c>
      <c r="N2691" s="6">
        <f>HYPERLINK("http://www.eum.go.kr/web/ar/lu/luLandDet.jsp?pnu=3611035027100090004&amp;isNoScr=script&amp;mode=search", "토지이음")</f>
        <v/>
      </c>
      <c r="O2691" s="3" t="inlineStr">
        <is>
          <t>세종공주원탑</t>
        </is>
      </c>
      <c r="P2691" s="4" t="n">
        <v>1</v>
      </c>
      <c r="Q2691" s="4" t="n">
        <v>2990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세로한면(가)</t>
        </is>
      </c>
    </row>
    <row r="2692">
      <c r="A2692" s="3" t="inlineStr">
        <is>
          <t>장군면 은용리 90-1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62800</v>
      </c>
      <c r="G2692" s="4" t="n">
        <v>519</v>
      </c>
      <c r="H2692" s="4" t="n">
        <v>157</v>
      </c>
      <c r="I2692" s="5" t="n">
        <v>400</v>
      </c>
      <c r="J2692" s="5" t="n">
        <v>116.8</v>
      </c>
      <c r="K2692" s="3" t="inlineStr">
        <is>
          <t>가격조율 가능, 지대 높은 전원주택지로 추천, 전원주택과 마을 회관 근접</t>
        </is>
      </c>
      <c r="L2692" s="6">
        <f>HYPERLINK("https://fin.land.naver.com/articles/2651993423", "매물Link")</f>
        <v/>
      </c>
      <c r="M2692" s="6">
        <f>HYPERLINK("https://map.naver.com/p/search/장군면 은용리 90-1", "지도Link")</f>
        <v/>
      </c>
      <c r="N2692" s="6">
        <f>HYPERLINK("http://www.eum.go.kr/web/ar/lu/luLandDet.jsp?pnu=3611035027100900001&amp;isNoScr=script&amp;mode=search", "토지이음")</f>
        <v/>
      </c>
      <c r="O2692" s="3" t="inlineStr">
        <is>
          <t>담뜰</t>
        </is>
      </c>
      <c r="P2692" s="4" t="n">
        <v>1</v>
      </c>
      <c r="Q2692" s="4" t="n">
        <v>519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장군면 태산리 122-2</t>
        </is>
      </c>
      <c r="B2693" s="3" t="inlineStr">
        <is>
          <t>생산관리지역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31000</v>
      </c>
      <c r="G2693" s="4" t="n">
        <v>760</v>
      </c>
      <c r="H2693" s="4" t="n">
        <v>230</v>
      </c>
      <c r="I2693" s="5" t="n">
        <v>134.8</v>
      </c>
      <c r="J2693" s="5" t="n">
        <v>27.5</v>
      </c>
      <c r="K2693" s="3" t="inlineStr">
        <is>
          <t>세종서울고속도로IC 및 세종산단인근 최대한조율 해드릴께요</t>
        </is>
      </c>
      <c r="L2693" s="6">
        <f>HYPERLINK("https://fin.land.naver.com/articles/2652293624", "매물Link")</f>
        <v/>
      </c>
      <c r="M2693" s="6">
        <f>HYPERLINK("https://map.naver.com/p/search/장군면 태산리 122-2", "지도Link")</f>
        <v/>
      </c>
      <c r="N2693" s="6">
        <f>HYPERLINK("http://www.eum.go.kr/web/ar/lu/luLandDet.jsp?pnu=3611035034101220002&amp;isNoScr=script&amp;mode=search", "토지이음")</f>
        <v/>
      </c>
      <c r="O2693" s="3" t="inlineStr">
        <is>
          <t>세종강남</t>
        </is>
      </c>
      <c r="P2693" s="4" t="n">
        <v>1</v>
      </c>
      <c r="Q2693" s="4" t="n">
        <v>760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장군면 태산리 188-66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20000</v>
      </c>
      <c r="G2694" s="4" t="n">
        <v>577</v>
      </c>
      <c r="H2694" s="4" t="n">
        <v>175</v>
      </c>
      <c r="I2694" s="5" t="n">
        <v>114.3</v>
      </c>
      <c r="J2694" s="5" t="n">
        <v>101</v>
      </c>
      <c r="K2694" s="3" t="inlineStr">
        <is>
          <t>장군면 태산리  대지 및 임야보전관리 577㎡</t>
        </is>
      </c>
      <c r="L2694" s="6">
        <f>HYPERLINK("https://fin.land.naver.com/articles/2655226290", "매물Link")</f>
        <v/>
      </c>
      <c r="M2694" s="6">
        <f>HYPERLINK("https://map.naver.com/p/search/장군면 태산리 188-66", "지도Link")</f>
        <v/>
      </c>
      <c r="N2694" s="6">
        <f>HYPERLINK("http://www.eum.go.kr/web/ar/lu/luLandDet.jsp?pnu=3611035034101880066&amp;isNoScr=script&amp;mode=search", "토지이음")</f>
        <v/>
      </c>
      <c r="O2694" s="3" t="inlineStr">
        <is>
          <t>반곡열린</t>
        </is>
      </c>
      <c r="P2694" s="4" t="n">
        <v>1</v>
      </c>
      <c r="Q2694" s="4" t="n">
        <v>464</v>
      </c>
      <c r="R2694" s="3" t="inlineStr">
        <is>
          <t>지정되지않음</t>
        </is>
      </c>
      <c r="S2694" s="3" t="inlineStr">
        <is>
          <t>주거나지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장군면 태산리 318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70000</v>
      </c>
      <c r="G2695" s="4" t="n">
        <v>5802</v>
      </c>
      <c r="H2695" s="4" t="n">
        <v>1755</v>
      </c>
      <c r="I2695" s="5" t="n">
        <v>39.9</v>
      </c>
      <c r="J2695" s="5" t="n">
        <v>22.4</v>
      </c>
      <c r="K2695" s="3" t="inlineStr">
        <is>
          <t>도로접 농지매매</t>
        </is>
      </c>
      <c r="L2695" s="6">
        <f>HYPERLINK("https://fin.land.naver.com/articles/2655884026", "매물Link")</f>
        <v/>
      </c>
      <c r="M2695" s="6">
        <f>HYPERLINK("https://map.naver.com/p/search/장군면 태산리 318", "지도Link")</f>
        <v/>
      </c>
      <c r="N2695" s="6">
        <f>HYPERLINK("http://www.eum.go.kr/web/ar/lu/luLandDet.jsp?pnu=3611035034103180000&amp;isNoScr=script&amp;mode=search", "토지이음")</f>
        <v/>
      </c>
      <c r="O2695" s="3" t="inlineStr">
        <is>
          <t>둔산엘리프 더센트럴 탑</t>
        </is>
      </c>
      <c r="P2695" s="4" t="n">
        <v>1</v>
      </c>
      <c r="Q2695" s="4" t="n">
        <v>5802.2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세로한면(가)</t>
        </is>
      </c>
    </row>
    <row r="2696">
      <c r="A2696" s="3" t="inlineStr">
        <is>
          <t>장군면 태산리 324-9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41000</v>
      </c>
      <c r="G2696" s="4" t="n">
        <v>2254</v>
      </c>
      <c r="H2696" s="4" t="n">
        <v>682</v>
      </c>
      <c r="I2696" s="5" t="n">
        <v>60.1</v>
      </c>
      <c r="J2696" s="5" t="n">
        <v>22.4</v>
      </c>
      <c r="K2696" s="3" t="inlineStr">
        <is>
          <t>세종신도시 인접한 농지 도로접근용이</t>
        </is>
      </c>
      <c r="L2696" s="6">
        <f>HYPERLINK("https://fin.land.naver.com/articles/2654543541", "매물Link")</f>
        <v/>
      </c>
      <c r="M2696" s="6">
        <f>HYPERLINK("https://map.naver.com/p/search/장군면 태산리 324-9", "지도Link")</f>
        <v/>
      </c>
      <c r="N2696" s="6">
        <f>HYPERLINK("http://www.eum.go.kr/web/ar/lu/luLandDet.jsp?pnu=3611035034103240009&amp;isNoScr=script&amp;mode=search", "토지이음")</f>
        <v/>
      </c>
      <c r="O2696" s="3" t="inlineStr">
        <is>
          <t>포스코</t>
        </is>
      </c>
      <c r="P2696" s="4" t="n">
        <v>2</v>
      </c>
      <c r="Q2696" s="4" t="n">
        <v>2254.4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세로한면(가)</t>
        </is>
      </c>
    </row>
    <row r="2697">
      <c r="A2697" s="3" t="inlineStr">
        <is>
          <t>장군면 태산리 324-9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34100</v>
      </c>
      <c r="G2697" s="4" t="n">
        <v>2188</v>
      </c>
      <c r="H2697" s="4" t="n">
        <v>662</v>
      </c>
      <c r="I2697" s="5" t="n">
        <v>51.5</v>
      </c>
      <c r="J2697" s="5" t="n">
        <v>22.4</v>
      </c>
      <c r="K2697" s="3" t="inlineStr">
        <is>
          <t>세종 장군면 평탄 농지, 영농·시설하우스 검토 추천</t>
        </is>
      </c>
      <c r="L2697" s="6">
        <f>HYPERLINK("https://fin.land.naver.com/articles/2655432030", "매물Link")</f>
        <v/>
      </c>
      <c r="M2697" s="6">
        <f>HYPERLINK("https://map.naver.com/p/search/장군면 태산리 324-9", "지도Link")</f>
        <v/>
      </c>
      <c r="N2697" s="6">
        <f>HYPERLINK("http://www.eum.go.kr/web/ar/lu/luLandDet.jsp?pnu=3611035034103240009&amp;isNoScr=script&amp;mode=search", "토지이음")</f>
        <v/>
      </c>
      <c r="O2697" s="3" t="inlineStr">
        <is>
          <t>세종소담황금</t>
        </is>
      </c>
      <c r="P2697" s="4" t="n">
        <v>1</v>
      </c>
      <c r="Q2697" s="4" t="n">
        <v>2254.4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세로장방</t>
        </is>
      </c>
      <c r="V2697" s="3" t="inlineStr">
        <is>
          <t>세로한면(가)</t>
        </is>
      </c>
    </row>
    <row r="2698">
      <c r="A2698" s="3" t="inlineStr">
        <is>
          <t>장군면 태산리 350-5</t>
        </is>
      </c>
      <c r="B2698" s="3" t="inlineStr">
        <is>
          <t>계획관리지역</t>
        </is>
      </c>
      <c r="C2698" s="3" t="inlineStr">
        <is>
          <t>답</t>
        </is>
      </c>
      <c r="D2698" s="3" t="inlineStr">
        <is>
          <t>답</t>
        </is>
      </c>
      <c r="E2698" s="3" t="inlineStr">
        <is>
          <t>매매</t>
        </is>
      </c>
      <c r="F2698" s="4" t="n">
        <v>119800</v>
      </c>
      <c r="G2698" s="4" t="n">
        <v>3960</v>
      </c>
      <c r="H2698" s="4" t="n">
        <v>1198</v>
      </c>
      <c r="I2698" s="5" t="n">
        <v>100</v>
      </c>
      <c r="J2698" s="5" t="n">
        <v>36.5</v>
      </c>
      <c r="K2698" s="3" t="inlineStr">
        <is>
          <t>의랑초등학교 인근 답 매매 2필지</t>
        </is>
      </c>
      <c r="L2698" s="6">
        <f>HYPERLINK("https://fin.land.naver.com/articles/2652022434", "매물Link")</f>
        <v/>
      </c>
      <c r="M2698" s="6">
        <f>HYPERLINK("https://map.naver.com/p/search/장군면 태산리 350-5", "지도Link")</f>
        <v/>
      </c>
      <c r="N2698" s="6">
        <f>HYPERLINK("http://www.eum.go.kr/web/ar/lu/luLandDet.jsp?pnu=3611035034103500005&amp;isNoScr=script&amp;mode=search", "토지이음")</f>
        <v/>
      </c>
      <c r="O2698" s="3" t="inlineStr">
        <is>
          <t>장승배기</t>
        </is>
      </c>
      <c r="P2698" s="4" t="n">
        <v>1</v>
      </c>
      <c r="Q2698" s="4" t="n">
        <v>1911.6</v>
      </c>
      <c r="R2698" s="3" t="inlineStr">
        <is>
          <t>지정되지않음</t>
        </is>
      </c>
      <c r="S2698" s="3" t="inlineStr">
        <is>
          <t>답</t>
        </is>
      </c>
      <c r="T2698" s="3" t="inlineStr">
        <is>
          <t>완경사</t>
        </is>
      </c>
      <c r="U2698" s="3" t="inlineStr">
        <is>
          <t>세로장방</t>
        </is>
      </c>
      <c r="V2698" s="3" t="inlineStr">
        <is>
          <t>세로한면(가)</t>
        </is>
      </c>
    </row>
    <row r="2699">
      <c r="A2699" s="3" t="inlineStr">
        <is>
          <t>장군면 태산리 59-1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47000</v>
      </c>
      <c r="G2699" s="4" t="n">
        <v>1715</v>
      </c>
      <c r="H2699" s="4" t="n">
        <v>519</v>
      </c>
      <c r="I2699" s="5" t="n">
        <v>90.59999999999999</v>
      </c>
      <c r="J2699" s="5" t="n">
        <v>34.1</v>
      </c>
      <c r="K2699" s="3" t="inlineStr">
        <is>
          <t>창고, 유실수등 관리 잘 된 토지 매매</t>
        </is>
      </c>
      <c r="L2699" s="6">
        <f>HYPERLINK("https://fin.land.naver.com/articles/2654379919", "매물Link")</f>
        <v/>
      </c>
      <c r="M2699" s="6">
        <f>HYPERLINK("https://map.naver.com/p/search/장군면 태산리 59-1", "지도Link")</f>
        <v/>
      </c>
      <c r="N2699" s="6">
        <f>HYPERLINK("http://www.eum.go.kr/web/ar/lu/luLandDet.jsp?pnu=3611035034100590001&amp;isNoScr=script&amp;mode=search", "토지이음")</f>
        <v/>
      </c>
      <c r="O2699" s="3" t="inlineStr">
        <is>
          <t>수자인시티</t>
        </is>
      </c>
      <c r="P2699" s="4" t="n">
        <v>1</v>
      </c>
      <c r="Q2699" s="4" t="n">
        <v>526</v>
      </c>
      <c r="R2699" s="3" t="inlineStr">
        <is>
          <t>지정되지않음</t>
        </is>
      </c>
      <c r="S2699" s="3" t="inlineStr">
        <is>
          <t>단독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장군면 태산리 80</t>
        </is>
      </c>
      <c r="B2700" s="3" t="inlineStr">
        <is>
          <t>생산관리지역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28200</v>
      </c>
      <c r="G2700" s="4" t="n">
        <v>932</v>
      </c>
      <c r="H2700" s="4" t="n">
        <v>282</v>
      </c>
      <c r="I2700" s="5" t="n">
        <v>100</v>
      </c>
      <c r="J2700" s="5" t="n">
        <v>19.7</v>
      </c>
      <c r="K2700" s="3" t="inlineStr">
        <is>
          <t>고속도로ic인근 반듯한 조경수식재중인 생산관리 전</t>
        </is>
      </c>
      <c r="L2700" s="6">
        <f>HYPERLINK("https://fin.land.naver.com/articles/2653833907", "매물Link")</f>
        <v/>
      </c>
      <c r="M2700" s="6">
        <f>HYPERLINK("https://map.naver.com/p/search/장군면 태산리 80", "지도Link")</f>
        <v/>
      </c>
      <c r="N2700" s="6">
        <f>HYPERLINK("http://www.eum.go.kr/web/ar/lu/luLandDet.jsp?pnu=3611035034100800000&amp;isNoScr=script&amp;mode=search", "토지이음")</f>
        <v/>
      </c>
      <c r="O2700" s="3" t="inlineStr">
        <is>
          <t>KB</t>
        </is>
      </c>
      <c r="P2700" s="4" t="n">
        <v>1</v>
      </c>
      <c r="Q2700" s="4" t="n">
        <v>932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장군면 평기리 106-12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130000</v>
      </c>
      <c r="G2701" s="4" t="n">
        <v>2680</v>
      </c>
      <c r="H2701" s="4" t="n">
        <v>811</v>
      </c>
      <c r="I2701" s="5" t="n">
        <v>160.3</v>
      </c>
      <c r="J2701" s="5" t="n">
        <v>38</v>
      </c>
      <c r="K2701" s="3" t="inlineStr">
        <is>
          <t>급매, 농가주택 가능,  대토용, 투자용</t>
        </is>
      </c>
      <c r="L2701" s="6">
        <f>HYPERLINK("https://fin.land.naver.com/articles/2652663278", "매물Link")</f>
        <v/>
      </c>
      <c r="M2701" s="6">
        <f>HYPERLINK("https://map.naver.com/p/search/장군면 평기리 106-12", "지도Link")</f>
        <v/>
      </c>
      <c r="N2701" s="6">
        <f>HYPERLINK("http://www.eum.go.kr/web/ar/lu/luLandDet.jsp?pnu=3611035022101060012&amp;isNoScr=script&amp;mode=search", "토지이음")</f>
        <v/>
      </c>
      <c r="O2701" s="3" t="inlineStr">
        <is>
          <t>고운동리치세종</t>
        </is>
      </c>
      <c r="P2701" s="4" t="n">
        <v>1</v>
      </c>
      <c r="Q2701" s="4" t="n">
        <v>2680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장군면 평기리 106-12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130000</v>
      </c>
      <c r="G2702" s="4" t="n">
        <v>2680</v>
      </c>
      <c r="H2702" s="4" t="n">
        <v>811</v>
      </c>
      <c r="I2702" s="5" t="n">
        <v>160.3</v>
      </c>
      <c r="J2702" s="5" t="n">
        <v>38</v>
      </c>
      <c r="K2702" s="3" t="inlineStr">
        <is>
          <t>2차선 지방도에 접해있고 주택 건축이 가능한 농림지역, 인근 리조트 건설</t>
        </is>
      </c>
      <c r="L2702" s="6">
        <f>HYPERLINK("https://fin.land.naver.com/articles/2655656623", "매물Link")</f>
        <v/>
      </c>
      <c r="M2702" s="6">
        <f>HYPERLINK("https://map.naver.com/p/search/장군면 평기리 106-12", "지도Link")</f>
        <v/>
      </c>
      <c r="N2702" s="6">
        <f>HYPERLINK("http://www.eum.go.kr/web/ar/lu/luLandDet.jsp?pnu=3611035022101060012&amp;isNoScr=script&amp;mode=search", "토지이음")</f>
        <v/>
      </c>
      <c r="O2702" s="3" t="inlineStr">
        <is>
          <t>온뜰</t>
        </is>
      </c>
      <c r="P2702" s="4" t="n">
        <v>1</v>
      </c>
      <c r="Q2702" s="4" t="n">
        <v>2680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소로한면</t>
        </is>
      </c>
    </row>
    <row r="2703">
      <c r="A2703" s="3" t="inlineStr">
        <is>
          <t>장군면 평기리 130-2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68000</v>
      </c>
      <c r="G2703" s="4" t="n">
        <v>1488</v>
      </c>
      <c r="H2703" s="4" t="n">
        <v>450</v>
      </c>
      <c r="I2703" s="5" t="n">
        <v>151.1</v>
      </c>
      <c r="J2703" s="5" t="n">
        <v>53.8</v>
      </c>
      <c r="K2703" s="3" t="inlineStr">
        <is>
          <t>장군면 평기리 계획관리지역</t>
        </is>
      </c>
      <c r="L2703" s="6">
        <f>HYPERLINK("https://fin.land.naver.com/articles/2656000922", "매물Link")</f>
        <v/>
      </c>
      <c r="M2703" s="6">
        <f>HYPERLINK("https://map.naver.com/p/search/장군면 평기리 130-2", "지도Link")</f>
        <v/>
      </c>
      <c r="N2703" s="6">
        <f>HYPERLINK("http://www.eum.go.kr/web/ar/lu/luLandDet.jsp?pnu=3611035022101300002&amp;isNoScr=script&amp;mode=search", "토지이음")</f>
        <v/>
      </c>
      <c r="O2703" s="3" t="inlineStr">
        <is>
          <t>세종천지</t>
        </is>
      </c>
      <c r="P2703" s="4" t="n">
        <v>1</v>
      </c>
      <c r="Q2703" s="4" t="n">
        <v>1488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장군면 평기리 14</t>
        </is>
      </c>
      <c r="B2704" s="3" t="inlineStr">
        <is>
          <t>계획관리지역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월세</t>
        </is>
      </c>
      <c r="F2704" s="4" t="n">
        <v>5000</v>
      </c>
      <c r="G2704" s="4" t="n">
        <v>3025</v>
      </c>
      <c r="H2704" s="4" t="n">
        <v>915</v>
      </c>
      <c r="I2704" s="5" t="n">
        <v>0.2</v>
      </c>
      <c r="J2704" s="5" t="n">
        <v>75.8</v>
      </c>
      <c r="K2704" s="3" t="inlineStr">
        <is>
          <t>nan</t>
        </is>
      </c>
      <c r="L2704" s="6">
        <f>HYPERLINK("https://fin.land.naver.com/articles/2652409130", "매물Link")</f>
        <v/>
      </c>
      <c r="M2704" s="6">
        <f>HYPERLINK("https://map.naver.com/p/search/장군면 평기리 14", "지도Link")</f>
        <v/>
      </c>
      <c r="N2704" s="6">
        <f>HYPERLINK("http://www.eum.go.kr/web/ar/lu/luLandDet.jsp?pnu=3611035022100140000&amp;isNoScr=script&amp;mode=search", "토지이음")</f>
        <v/>
      </c>
      <c r="O2704" s="3" t="inlineStr">
        <is>
          <t>세종공주제일</t>
        </is>
      </c>
      <c r="P2704" s="4" t="n">
        <v>1</v>
      </c>
      <c r="Q2704" s="4" t="n">
        <v>520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장군면 평기리 175-4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52000</v>
      </c>
      <c r="G2705" s="4" t="n">
        <v>660</v>
      </c>
      <c r="H2705" s="4" t="n">
        <v>200</v>
      </c>
      <c r="I2705" s="5" t="n">
        <v>260</v>
      </c>
      <c r="J2705" s="5" t="n">
        <v>114.9</v>
      </c>
      <c r="K2705" s="3" t="inlineStr">
        <is>
          <t>계획관리 자연취락지구, 평기길 후면 포장도로 접, 구옥이 있음</t>
        </is>
      </c>
      <c r="L2705" s="6">
        <f>HYPERLINK("https://fin.land.naver.com/articles/2656103810", "매물Link")</f>
        <v/>
      </c>
      <c r="M2705" s="6">
        <f>HYPERLINK("https://map.naver.com/p/search/장군면 평기리 175-4", "지도Link")</f>
        <v/>
      </c>
      <c r="N2705" s="6">
        <f>HYPERLINK("http://www.eum.go.kr/web/ar/lu/luLandDet.jsp?pnu=3611035022101750004&amp;isNoScr=script&amp;mode=search", "토지이음")</f>
        <v/>
      </c>
      <c r="O2705" s="3" t="inlineStr">
        <is>
          <t>온뜰</t>
        </is>
      </c>
      <c r="P2705" s="4" t="n">
        <v>1</v>
      </c>
      <c r="Q2705" s="4" t="n">
        <v>660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장군면 평기리 18-7</t>
        </is>
      </c>
      <c r="B2706" s="3" t="inlineStr">
        <is>
          <t>보전관리지역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102000</v>
      </c>
      <c r="G2706" s="4" t="n">
        <v>2248</v>
      </c>
      <c r="H2706" s="4" t="n">
        <v>680</v>
      </c>
      <c r="I2706" s="5" t="n">
        <v>150</v>
      </c>
      <c r="J2706" s="5" t="n">
        <v>38.5</v>
      </c>
      <c r="K2706" s="3" t="inlineStr">
        <is>
          <t>2차선접, 공장 상업용지</t>
        </is>
      </c>
      <c r="L2706" s="6">
        <f>HYPERLINK("https://fin.land.naver.com/articles/2652726320", "매물Link")</f>
        <v/>
      </c>
      <c r="M2706" s="6">
        <f>HYPERLINK("https://map.naver.com/p/search/장군면 평기리 18-7", "지도Link")</f>
        <v/>
      </c>
      <c r="N2706" s="6">
        <f>HYPERLINK("http://www.eum.go.kr/web/ar/lu/luLandDet.jsp?pnu=3611035022100180007&amp;isNoScr=script&amp;mode=search", "토지이음")</f>
        <v/>
      </c>
      <c r="O2706" s="3" t="inlineStr">
        <is>
          <t>대박</t>
        </is>
      </c>
      <c r="P2706" s="4" t="n">
        <v>1</v>
      </c>
      <c r="Q2706" s="4" t="n">
        <v>2248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자루형</t>
        </is>
      </c>
      <c r="V2706" s="3" t="inlineStr">
        <is>
          <t>세로한면(가)</t>
        </is>
      </c>
    </row>
    <row r="2707">
      <c r="A2707" s="3" t="inlineStr">
        <is>
          <t>장군면 평기리 203-1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100000</v>
      </c>
      <c r="G2707" s="4" t="n">
        <v>3319</v>
      </c>
      <c r="H2707" s="4" t="n">
        <v>1004</v>
      </c>
      <c r="I2707" s="5" t="n">
        <v>99.59999999999999</v>
      </c>
      <c r="J2707" s="5" t="n">
        <v>38.8</v>
      </c>
      <c r="K2707" s="3" t="inlineStr">
        <is>
          <t>대로변근접, 투자용, 대토용</t>
        </is>
      </c>
      <c r="L2707" s="6">
        <f>HYPERLINK("https://fin.land.naver.com/articles/2654626253", "매물Link")</f>
        <v/>
      </c>
      <c r="M2707" s="6">
        <f>HYPERLINK("https://map.naver.com/p/search/장군면 평기리 203-1", "지도Link")</f>
        <v/>
      </c>
      <c r="N2707" s="6">
        <f>HYPERLINK("http://www.eum.go.kr/web/ar/lu/luLandDet.jsp?pnu=3611035022102030001&amp;isNoScr=script&amp;mode=search", "토지이음")</f>
        <v/>
      </c>
      <c r="O2707" s="3" t="inlineStr">
        <is>
          <t>고운동리치세종</t>
        </is>
      </c>
      <c r="P2707" s="4" t="n">
        <v>1</v>
      </c>
      <c r="Q2707" s="4" t="n">
        <v>3319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장군면 평기리 204-2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93000</v>
      </c>
      <c r="G2708" s="4" t="n">
        <v>3015</v>
      </c>
      <c r="H2708" s="4" t="n">
        <v>912</v>
      </c>
      <c r="I2708" s="5" t="n">
        <v>102</v>
      </c>
      <c r="J2708" s="5" t="n">
        <v>38.8</v>
      </c>
      <c r="K2708" s="3" t="inlineStr">
        <is>
          <t>투자용추천,지목 답</t>
        </is>
      </c>
      <c r="L2708" s="6">
        <f>HYPERLINK("https://fin.land.naver.com/articles/2654533289", "매물Link")</f>
        <v/>
      </c>
      <c r="M2708" s="6">
        <f>HYPERLINK("https://map.naver.com/p/search/장군면 평기리 204-2", "지도Link")</f>
        <v/>
      </c>
      <c r="N2708" s="6">
        <f>HYPERLINK("http://www.eum.go.kr/web/ar/lu/luLandDet.jsp?pnu=3611035022102040002&amp;isNoScr=script&amp;mode=search", "토지이음")</f>
        <v/>
      </c>
      <c r="O2708" s="3" t="inlineStr">
        <is>
          <t>다산</t>
        </is>
      </c>
      <c r="P2708" s="4" t="n">
        <v>1</v>
      </c>
      <c r="Q2708" s="4" t="n">
        <v>3015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장군면 평기리 214</t>
        </is>
      </c>
      <c r="B2709" s="3" t="inlineStr">
        <is>
          <t>계획관리지역</t>
        </is>
      </c>
      <c r="C2709" s="3" t="inlineStr">
        <is>
          <t>답</t>
        </is>
      </c>
      <c r="D2709" s="3" t="inlineStr">
        <is>
          <t>전</t>
        </is>
      </c>
      <c r="E2709" s="3" t="inlineStr">
        <is>
          <t>매매</t>
        </is>
      </c>
      <c r="F2709" s="4" t="n">
        <v>33000</v>
      </c>
      <c r="G2709" s="4" t="n">
        <v>219</v>
      </c>
      <c r="H2709" s="4" t="n">
        <v>66</v>
      </c>
      <c r="I2709" s="5" t="n">
        <v>500</v>
      </c>
      <c r="J2709" s="5" t="n">
        <v>105.8</v>
      </c>
      <c r="K2709" s="3" t="inlineStr">
        <is>
          <t>2차선도로접,세종시근접,단독주택부지,근생부지로 추천</t>
        </is>
      </c>
      <c r="L2709" s="6">
        <f>HYPERLINK("https://fin.land.naver.com/articles/2651053830", "매물Link")</f>
        <v/>
      </c>
      <c r="M2709" s="6">
        <f>HYPERLINK("https://map.naver.com/p/search/장군면 평기리 214", "지도Link")</f>
        <v/>
      </c>
      <c r="N2709" s="6">
        <f>HYPERLINK("http://www.eum.go.kr/web/ar/lu/luLandDet.jsp?pnu=3611035022102140000&amp;isNoScr=script&amp;mode=search", "토지이음")</f>
        <v/>
      </c>
      <c r="O2709" s="3" t="inlineStr">
        <is>
          <t>담뜰</t>
        </is>
      </c>
      <c r="P2709" s="4" t="n">
        <v>1</v>
      </c>
      <c r="Q2709" s="4" t="n">
        <v>219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장군면 평기리 214</t>
        </is>
      </c>
      <c r="B2710" s="3" t="inlineStr">
        <is>
          <t>계획관리지역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30000</v>
      </c>
      <c r="G2710" s="4" t="n">
        <v>219</v>
      </c>
      <c r="H2710" s="4" t="n">
        <v>66</v>
      </c>
      <c r="I2710" s="5" t="n">
        <v>454.5</v>
      </c>
      <c r="J2710" s="5" t="n">
        <v>105.8</v>
      </c>
      <c r="K2710" s="3" t="inlineStr">
        <is>
          <t>장군면 평기리 2차선변 계획관리 토지, 신도시 인근, 장군면소재지, 건축</t>
        </is>
      </c>
      <c r="L2710" s="6">
        <f>HYPERLINK("https://fin.land.naver.com/articles/2654029661", "매물Link")</f>
        <v/>
      </c>
      <c r="M2710" s="6">
        <f>HYPERLINK("https://map.naver.com/p/search/장군면 평기리 214", "지도Link")</f>
        <v/>
      </c>
      <c r="N2710" s="6">
        <f>HYPERLINK("http://www.eum.go.kr/web/ar/lu/luLandDet.jsp?pnu=3611035022102140000&amp;isNoScr=script&amp;mode=search", "토지이음")</f>
        <v/>
      </c>
      <c r="O2710" s="3" t="inlineStr">
        <is>
          <t>스카이</t>
        </is>
      </c>
      <c r="P2710" s="4" t="n">
        <v>1</v>
      </c>
      <c r="Q2710" s="4" t="n">
        <v>219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소로한면</t>
        </is>
      </c>
    </row>
    <row r="2711">
      <c r="A2711" s="3" t="inlineStr">
        <is>
          <t>장군면 평기리 214-1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전</t>
        </is>
      </c>
      <c r="E2711" s="3" t="inlineStr">
        <is>
          <t>매매</t>
        </is>
      </c>
      <c r="F2711" s="4" t="n">
        <v>320000</v>
      </c>
      <c r="G2711" s="4" t="n">
        <v>2358</v>
      </c>
      <c r="H2711" s="4" t="n">
        <v>713</v>
      </c>
      <c r="I2711" s="5" t="n">
        <v>448.8</v>
      </c>
      <c r="J2711" s="5" t="n">
        <v>107.9</v>
      </c>
      <c r="K2711" s="3" t="inlineStr">
        <is>
          <t>장군면 평기리 2차선변 계획관리 토지, 신도시 인근, 장군면소재지, 건축</t>
        </is>
      </c>
      <c r="L2711" s="6">
        <f>HYPERLINK("https://fin.land.naver.com/articles/2654029786", "매물Link")</f>
        <v/>
      </c>
      <c r="M2711" s="6">
        <f>HYPERLINK("https://map.naver.com/p/search/장군면 평기리 214-1", "지도Link")</f>
        <v/>
      </c>
      <c r="N2711" s="6">
        <f>HYPERLINK("http://www.eum.go.kr/web/ar/lu/luLandDet.jsp?pnu=3611035022102140001&amp;isNoScr=script&amp;mode=search", "토지이음")</f>
        <v/>
      </c>
      <c r="O2711" s="3" t="inlineStr">
        <is>
          <t>스카이</t>
        </is>
      </c>
      <c r="P2711" s="4" t="n">
        <v>1</v>
      </c>
      <c r="Q2711" s="4" t="n">
        <v>662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소로각지</t>
        </is>
      </c>
    </row>
    <row r="2712">
      <c r="A2712" s="3" t="inlineStr">
        <is>
          <t>장군면 평기리 217-4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23100</v>
      </c>
      <c r="G2712" s="4" t="n">
        <v>510</v>
      </c>
      <c r="H2712" s="4" t="n">
        <v>154</v>
      </c>
      <c r="I2712" s="5" t="n">
        <v>150</v>
      </c>
      <c r="J2712" s="5" t="n">
        <v>108.7</v>
      </c>
      <c r="K2712" s="3" t="inlineStr">
        <is>
          <t>장군면 저렴한 주택 대지</t>
        </is>
      </c>
      <c r="L2712" s="6">
        <f>HYPERLINK("https://fin.land.naver.com/articles/2651908117", "매물Link")</f>
        <v/>
      </c>
      <c r="M2712" s="6">
        <f>HYPERLINK("https://map.naver.com/p/search/장군면 평기리 217-4", "지도Link")</f>
        <v/>
      </c>
      <c r="N2712" s="6">
        <f>HYPERLINK("http://www.eum.go.kr/web/ar/lu/luLandDet.jsp?pnu=3611035022102170004&amp;isNoScr=script&amp;mode=search",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510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장군면 평기리 219-1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50000</v>
      </c>
      <c r="G2713" s="4" t="n">
        <v>824</v>
      </c>
      <c r="H2713" s="4" t="n">
        <v>249</v>
      </c>
      <c r="I2713" s="5" t="n">
        <v>200.8</v>
      </c>
      <c r="J2713" s="5" t="n">
        <v>67.5</v>
      </c>
      <c r="K2713" s="3" t="inlineStr">
        <is>
          <t>계획관리지역, 마을도로 접, 평기길에서 350m, 신도시 차량 10분</t>
        </is>
      </c>
      <c r="L2713" s="6">
        <f>HYPERLINK("https://fin.land.naver.com/articles/2656486840", "매물Link")</f>
        <v/>
      </c>
      <c r="M2713" s="6">
        <f>HYPERLINK("https://map.naver.com/p/search/장군면 평기리 219-1", "지도Link")</f>
        <v/>
      </c>
      <c r="N2713" s="6">
        <f>HYPERLINK("http://www.eum.go.kr/web/ar/lu/luLandDet.jsp?pnu=3611035022102190001&amp;isNoScr=script&amp;mode=search", "토지이음")</f>
        <v/>
      </c>
      <c r="O2713" s="3" t="inlineStr">
        <is>
          <t>온뜰</t>
        </is>
      </c>
      <c r="P2713" s="4" t="n">
        <v>1</v>
      </c>
      <c r="Q2713" s="4" t="n">
        <v>824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장군면 평기리 22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월세</t>
        </is>
      </c>
      <c r="F2714" s="4" t="n">
        <v>3000</v>
      </c>
      <c r="G2714" s="4" t="n">
        <v>687</v>
      </c>
      <c r="H2714" s="4" t="n">
        <v>208</v>
      </c>
      <c r="I2714" s="5" t="n">
        <v>0.5</v>
      </c>
      <c r="J2714" s="5" t="n">
        <v>82</v>
      </c>
      <c r="K2714" s="3" t="inlineStr">
        <is>
          <t>2차선변 진출입 용이, 하천부지 추가사용가능</t>
        </is>
      </c>
      <c r="L2714" s="6">
        <f>HYPERLINK("https://fin.land.naver.com/articles/2652408710", "매물Link")</f>
        <v/>
      </c>
      <c r="M2714" s="6">
        <f>HYPERLINK("https://map.naver.com/p/search/장군면 평기리 22", "지도Link")</f>
        <v/>
      </c>
      <c r="N2714" s="6">
        <f>HYPERLINK("http://www.eum.go.kr/web/ar/lu/luLandDet.jsp?pnu=3611035022100220000&amp;isNoScr=script&amp;mode=search", "토지이음")</f>
        <v/>
      </c>
      <c r="O2714" s="3" t="inlineStr">
        <is>
          <t>세종공주제일</t>
        </is>
      </c>
      <c r="P2714" s="4" t="n">
        <v>1</v>
      </c>
      <c r="Q2714" s="4" t="n">
        <v>608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소로한면</t>
        </is>
      </c>
    </row>
    <row r="2715">
      <c r="A2715" s="3" t="inlineStr">
        <is>
          <t>장군면 평기리 22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72500</v>
      </c>
      <c r="G2715" s="4" t="n">
        <v>687</v>
      </c>
      <c r="H2715" s="4" t="n">
        <v>208</v>
      </c>
      <c r="I2715" s="5" t="n">
        <v>348.6</v>
      </c>
      <c r="J2715" s="5" t="n">
        <v>82</v>
      </c>
      <c r="K2715" s="3" t="inlineStr">
        <is>
          <t>2차선변 진출입 용이,성장계획구역</t>
        </is>
      </c>
      <c r="L2715" s="6">
        <f>HYPERLINK("https://fin.land.naver.com/articles/2652408343", "매물Link")</f>
        <v/>
      </c>
      <c r="M2715" s="6">
        <f>HYPERLINK("https://map.naver.com/p/search/장군면 평기리 22", "지도Link")</f>
        <v/>
      </c>
      <c r="N2715" s="6">
        <f>HYPERLINK("http://www.eum.go.kr/web/ar/lu/luLandDet.jsp?pnu=3611035022100220000&amp;isNoScr=script&amp;mode=search", "토지이음")</f>
        <v/>
      </c>
      <c r="O2715" s="3" t="inlineStr">
        <is>
          <t>세종공주제일</t>
        </is>
      </c>
      <c r="P2715" s="4" t="n">
        <v>1</v>
      </c>
      <c r="Q2715" s="4" t="n">
        <v>608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소로한면</t>
        </is>
      </c>
    </row>
    <row r="2716">
      <c r="A2716" s="3" t="inlineStr">
        <is>
          <t>장군면 평기리 220-3</t>
        </is>
      </c>
      <c r="B2716" s="3" t="inlineStr">
        <is>
          <t>계획관리지역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42000</v>
      </c>
      <c r="G2716" s="4" t="n">
        <v>2020</v>
      </c>
      <c r="H2716" s="4" t="n">
        <v>611</v>
      </c>
      <c r="I2716" s="5" t="n">
        <v>68.7</v>
      </c>
      <c r="J2716" s="5" t="n">
        <v>56.8</v>
      </c>
      <c r="K2716" s="3" t="inlineStr">
        <is>
          <t>지적도상 구거에 접해있어 도로 개설 등 활용성 있는 계획관리 저렴 토지</t>
        </is>
      </c>
      <c r="L2716" s="6">
        <f>HYPERLINK("https://fin.land.naver.com/articles/2653568897", "매물Link")</f>
        <v/>
      </c>
      <c r="M2716" s="6">
        <f>HYPERLINK("https://map.naver.com/p/search/장군면 평기리 220-3", "지도Link")</f>
        <v/>
      </c>
      <c r="N2716" s="6">
        <f>HYPERLINK("http://www.eum.go.kr/web/ar/lu/luLandDet.jsp?pnu=3611035022102200003&amp;isNoScr=script&amp;mode=search", "토지이음")</f>
        <v/>
      </c>
      <c r="O2716" s="3" t="inlineStr">
        <is>
          <t>온뜰</t>
        </is>
      </c>
      <c r="P2716" s="4" t="n">
        <v>1</v>
      </c>
      <c r="Q2716" s="4" t="n">
        <v>2020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장군면 평기리 220-7</t>
        </is>
      </c>
      <c r="B2717" s="3" t="inlineStr">
        <is>
          <t>계획관리지역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769000</v>
      </c>
      <c r="G2717" s="4" t="n">
        <v>10171</v>
      </c>
      <c r="H2717" s="4" t="n">
        <v>3077</v>
      </c>
      <c r="I2717" s="5" t="n">
        <v>249.9</v>
      </c>
      <c r="J2717" s="5" t="n">
        <v>71.7</v>
      </c>
      <c r="K2717" s="3" t="inlineStr">
        <is>
          <t>도로접 계획관리지역 조망권뷰 최상 다목적용도 가능,투자용 추천</t>
        </is>
      </c>
      <c r="L2717" s="6">
        <f>HYPERLINK("https://fin.land.naver.com/articles/2653220707", "매물Link")</f>
        <v/>
      </c>
      <c r="M2717" s="6">
        <f>HYPERLINK("https://map.naver.com/p/search/장군면 평기리 220-7", "지도Link")</f>
        <v/>
      </c>
      <c r="N2717" s="6">
        <f>HYPERLINK("http://www.eum.go.kr/web/ar/lu/luLandDet.jsp?pnu=3611035022102200007&amp;isNoScr=script&amp;mode=search",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10171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장군면 평기리 227-2</t>
        </is>
      </c>
      <c r="B2718" s="3" t="inlineStr">
        <is>
          <t>계획관리지역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116300</v>
      </c>
      <c r="G2718" s="4" t="n">
        <v>2255</v>
      </c>
      <c r="H2718" s="4" t="n">
        <v>682</v>
      </c>
      <c r="I2718" s="5" t="n">
        <v>170.5</v>
      </c>
      <c r="J2718" s="5" t="n">
        <v>62</v>
      </c>
      <c r="K2718" s="3" t="inlineStr">
        <is>
          <t>장군면 귀한 계획관리 토지</t>
        </is>
      </c>
      <c r="L2718" s="6">
        <f>HYPERLINK("https://fin.land.naver.com/articles/2652261452", "매물Link")</f>
        <v/>
      </c>
      <c r="M2718" s="6">
        <f>HYPERLINK("https://map.naver.com/p/search/장군면 평기리 227-2", "지도Link")</f>
        <v/>
      </c>
      <c r="N2718" s="6">
        <f>HYPERLINK("http://www.eum.go.kr/web/ar/lu/luLandDet.jsp?pnu=3611035022102270002&amp;isNoScr=script&amp;mode=search", "토지이음")</f>
        <v/>
      </c>
      <c r="O2718" s="3" t="inlineStr">
        <is>
          <t>새땅</t>
        </is>
      </c>
      <c r="P2718" s="4" t="n">
        <v>1</v>
      </c>
      <c r="Q2718" s="4" t="n">
        <v>2255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장군면 평기리 288-36</t>
        </is>
      </c>
      <c r="B2719" s="3" t="inlineStr">
        <is>
          <t>보전관리지역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35000</v>
      </c>
      <c r="G2719" s="4" t="n">
        <v>423</v>
      </c>
      <c r="H2719" s="4" t="n">
        <v>128</v>
      </c>
      <c r="I2719" s="5" t="n">
        <v>273.4</v>
      </c>
      <c r="J2719" s="5" t="n">
        <v>128.2</v>
      </c>
      <c r="K2719" s="3" t="inlineStr">
        <is>
          <t>세종 장군면 평기리 단독주택 부지로 검토할 임야</t>
        </is>
      </c>
      <c r="L2719" s="6">
        <f>HYPERLINK("https://fin.land.naver.com/articles/2655682229", "매물Link")</f>
        <v/>
      </c>
      <c r="M2719" s="6">
        <f>HYPERLINK("https://map.naver.com/p/search/장군면 평기리 288-36", "지도Link")</f>
        <v/>
      </c>
      <c r="N2719" s="6">
        <f>HYPERLINK("http://www.eum.go.kr/web/ar/lu/luLandDet.jsp?pnu=3611035022102880036&amp;isNoScr=script&amp;mode=search", "토지이음")</f>
        <v/>
      </c>
      <c r="O2719" s="3" t="inlineStr">
        <is>
          <t>세종몽땅</t>
        </is>
      </c>
      <c r="P2719" s="4" t="n">
        <v>1</v>
      </c>
      <c r="Q2719" s="4" t="n">
        <v>423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완경사</t>
        </is>
      </c>
      <c r="U2719" s="3" t="inlineStr">
        <is>
          <t>정방형</t>
        </is>
      </c>
      <c r="V2719" s="3" t="inlineStr">
        <is>
          <t>세로한면(가)</t>
        </is>
      </c>
    </row>
    <row r="2720">
      <c r="A2720" s="3" t="inlineStr">
        <is>
          <t>장군면 평기리 288-39</t>
        </is>
      </c>
      <c r="B2720" s="3" t="inlineStr">
        <is>
          <t>보전관리지역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48000</v>
      </c>
      <c r="G2720" s="4" t="n">
        <v>513</v>
      </c>
      <c r="H2720" s="4" t="n">
        <v>155</v>
      </c>
      <c r="I2720" s="5" t="n">
        <v>309.7</v>
      </c>
      <c r="J2720" s="5" t="n">
        <v>128.2</v>
      </c>
      <c r="K2720" s="3" t="inlineStr">
        <is>
          <t>장군면 평기리 잘조성된 전원주택지</t>
        </is>
      </c>
      <c r="L2720" s="6">
        <f>HYPERLINK("https://fin.land.naver.com/articles/2651782102", "매물Link")</f>
        <v/>
      </c>
      <c r="M2720" s="6">
        <f>HYPERLINK("https://map.naver.com/p/search/장군면 평기리 288-39", "지도Link")</f>
        <v/>
      </c>
      <c r="N2720" s="6">
        <f>HYPERLINK("http://www.eum.go.kr/web/ar/lu/luLandDet.jsp?pnu=3611035022102880039&amp;isNoScr=script&amp;mode=search", "토지이음")</f>
        <v/>
      </c>
      <c r="O2720" s="3" t="inlineStr">
        <is>
          <t>세종천지</t>
        </is>
      </c>
      <c r="P2720" s="4" t="n">
        <v>1</v>
      </c>
      <c r="Q2720" s="4" t="n">
        <v>513</v>
      </c>
      <c r="R2720" s="3" t="inlineStr">
        <is>
          <t>지정되지않음</t>
        </is>
      </c>
      <c r="S2720" s="3" t="inlineStr">
        <is>
          <t>주거나지</t>
        </is>
      </c>
      <c r="T2720" s="3" t="inlineStr">
        <is>
          <t>완경사</t>
        </is>
      </c>
      <c r="U2720" s="3" t="inlineStr">
        <is>
          <t>사다리형</t>
        </is>
      </c>
      <c r="V2720" s="3" t="inlineStr">
        <is>
          <t>세로한면(가)</t>
        </is>
      </c>
    </row>
    <row r="2721">
      <c r="A2721" s="3" t="inlineStr">
        <is>
          <t>장군면 평기리 288-57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33000</v>
      </c>
      <c r="G2721" s="4" t="n">
        <v>485</v>
      </c>
      <c r="H2721" s="4" t="n">
        <v>147</v>
      </c>
      <c r="I2721" s="5" t="n">
        <v>224.5</v>
      </c>
      <c r="J2721" s="5" t="n">
        <v>128.2</v>
      </c>
      <c r="K2721" s="3" t="inlineStr">
        <is>
          <t>세종시행복도시 고운동에서 10분거리 위치 좋고, 뷰 좋아요.</t>
        </is>
      </c>
      <c r="L2721" s="6">
        <f>HYPERLINK("https://fin.land.naver.com/articles/2655815477", "매물Link")</f>
        <v/>
      </c>
      <c r="M2721" s="6">
        <f>HYPERLINK("https://map.naver.com/p/search/장군면 평기리 288-57", "지도Link")</f>
        <v/>
      </c>
      <c r="N2721" s="6">
        <f>HYPERLINK("http://www.eum.go.kr/web/ar/lu/luLandDet.jsp?pnu=3611035022102880057&amp;isNoScr=script&amp;mode=search", "토지이음")</f>
        <v/>
      </c>
      <c r="O2721" s="3" t="inlineStr">
        <is>
          <t>세종올리브</t>
        </is>
      </c>
      <c r="P2721" s="4" t="n">
        <v>1</v>
      </c>
      <c r="Q2721" s="4" t="n">
        <v>485</v>
      </c>
      <c r="R2721" s="3" t="inlineStr">
        <is>
          <t>지정되지않음</t>
        </is>
      </c>
      <c r="S2721" s="3" t="inlineStr">
        <is>
          <t>주거나지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장군면 평기리 303-1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70000</v>
      </c>
      <c r="G2722" s="4" t="n">
        <v>2016</v>
      </c>
      <c r="H2722" s="4" t="n">
        <v>610</v>
      </c>
      <c r="I2722" s="5" t="n">
        <v>114.8</v>
      </c>
      <c r="J2722" s="5" t="n">
        <v>38</v>
      </c>
      <c r="K2722" s="3" t="inlineStr">
        <is>
          <t>투자용, 대토용, 가격조정가능</t>
        </is>
      </c>
      <c r="L2722" s="6">
        <f>HYPERLINK("https://fin.land.naver.com/articles/2654625682", "매물Link")</f>
        <v/>
      </c>
      <c r="M2722" s="6">
        <f>HYPERLINK("https://map.naver.com/p/search/장군면 평기리 303-1", "지도Link")</f>
        <v/>
      </c>
      <c r="N2722" s="6">
        <f>HYPERLINK("http://www.eum.go.kr/web/ar/lu/luLandDet.jsp?pnu=3611035022103030001&amp;isNoScr=script&amp;mode=search", "토지이음")</f>
        <v/>
      </c>
      <c r="O2722" s="3" t="inlineStr">
        <is>
          <t>고운동리치세종</t>
        </is>
      </c>
      <c r="P2722" s="4" t="n">
        <v>1</v>
      </c>
      <c r="Q2722" s="4" t="n">
        <v>2016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장군면 평기리 353-62</t>
        </is>
      </c>
      <c r="B2723" s="3" t="inlineStr">
        <is>
          <t>계획관리지역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86800</v>
      </c>
      <c r="G2723" s="4" t="n">
        <v>820</v>
      </c>
      <c r="H2723" s="4" t="n">
        <v>248</v>
      </c>
      <c r="I2723" s="5" t="n">
        <v>350</v>
      </c>
      <c r="J2723" s="5" t="n">
        <v>84.40000000000001</v>
      </c>
      <c r="K2723" s="3" t="inlineStr">
        <is>
          <t>2차선 도로 옆 계획관리지역</t>
        </is>
      </c>
      <c r="L2723" s="6">
        <f>HYPERLINK("https://fin.land.naver.com/articles/2652793865", "매물Link")</f>
        <v/>
      </c>
      <c r="M2723" s="6">
        <f>HYPERLINK("https://map.naver.com/p/search/장군면 평기리 353-62", "지도Link")</f>
        <v/>
      </c>
      <c r="N2723" s="6">
        <f>HYPERLINK("http://www.eum.go.kr/web/ar/lu/luLandDet.jsp?pnu=3611035022103530062&amp;isNoScr=script&amp;mode=search", "토지이음")</f>
        <v/>
      </c>
      <c r="O2723" s="3" t="inlineStr">
        <is>
          <t>강아지풀</t>
        </is>
      </c>
      <c r="P2723" s="4" t="n">
        <v>1</v>
      </c>
      <c r="Q2723" s="4" t="n">
        <v>820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사다리형</t>
        </is>
      </c>
      <c r="V2723" s="3" t="inlineStr">
        <is>
          <t>소로한면</t>
        </is>
      </c>
    </row>
    <row r="2724">
      <c r="A2724" s="3" t="inlineStr">
        <is>
          <t>장군면 평기리 353-65</t>
        </is>
      </c>
      <c r="B2724" s="3" t="inlineStr">
        <is>
          <t>계획관리지역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61500</v>
      </c>
      <c r="G2724" s="4" t="n">
        <v>813</v>
      </c>
      <c r="H2724" s="4" t="n">
        <v>246</v>
      </c>
      <c r="I2724" s="5" t="n">
        <v>250</v>
      </c>
      <c r="J2724" s="5" t="n">
        <v>80.40000000000001</v>
      </c>
      <c r="K2724" s="3" t="inlineStr">
        <is>
          <t>세종IC 인근 평기리 2차선변 저렴한 계획관리 토지 매매</t>
        </is>
      </c>
      <c r="L2724" s="6">
        <f>HYPERLINK("https://fin.land.naver.com/articles/2653813161", "매물Link")</f>
        <v/>
      </c>
      <c r="M2724" s="6">
        <f>HYPERLINK("https://map.naver.com/p/search/장군면 평기리 353-65", "지도Link")</f>
        <v/>
      </c>
      <c r="N2724" s="6">
        <f>HYPERLINK("http://www.eum.go.kr/web/ar/lu/luLandDet.jsp?pnu=3611035022103530065&amp;isNoScr=script&amp;mode=search", "토지이음")</f>
        <v/>
      </c>
      <c r="O2724" s="3" t="inlineStr">
        <is>
          <t>뉴스카이</t>
        </is>
      </c>
      <c r="P2724" s="4" t="n">
        <v>1</v>
      </c>
      <c r="Q2724" s="4" t="n">
        <v>813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소로한면</t>
        </is>
      </c>
    </row>
    <row r="2725">
      <c r="A2725" s="3" t="inlineStr">
        <is>
          <t>장군면 평기리 39</t>
        </is>
      </c>
      <c r="B2725" s="3" t="inlineStr">
        <is>
          <t>계획관리지역</t>
        </is>
      </c>
      <c r="C2725" s="3" t="inlineStr">
        <is>
          <t>대</t>
        </is>
      </c>
      <c r="D2725" s="3" t="inlineStr">
        <is>
          <t>대</t>
        </is>
      </c>
      <c r="E2725" s="3" t="inlineStr">
        <is>
          <t>매매</t>
        </is>
      </c>
      <c r="F2725" s="4" t="n">
        <v>72000</v>
      </c>
      <c r="G2725" s="4" t="n">
        <v>1320</v>
      </c>
      <c r="H2725" s="4" t="n">
        <v>399</v>
      </c>
      <c r="I2725" s="5" t="n">
        <v>180.5</v>
      </c>
      <c r="J2725" s="5" t="n">
        <v>73.59999999999999</v>
      </c>
      <c r="K2725" s="3" t="inlineStr">
        <is>
          <t>평기리에 위치한 전원주택 건축가능한 부지</t>
        </is>
      </c>
      <c r="L2725" s="6">
        <f>HYPERLINK("https://fin.land.naver.com/articles/2656402618", "매물Link")</f>
        <v/>
      </c>
      <c r="M2725" s="6">
        <f>HYPERLINK("https://map.naver.com/p/search/장군면 평기리 39", "지도Link")</f>
        <v/>
      </c>
      <c r="N2725" s="6">
        <f>HYPERLINK("http://www.eum.go.kr/web/ar/lu/luLandDet.jsp?pnu=3611035022100390000&amp;isNoScr=script&amp;mode=search", "토지이음")</f>
        <v/>
      </c>
      <c r="O2725" s="3" t="inlineStr">
        <is>
          <t>리슈빌대주</t>
        </is>
      </c>
      <c r="P2725" s="4" t="n">
        <v>1</v>
      </c>
      <c r="Q2725" s="4" t="n">
        <v>610</v>
      </c>
      <c r="R2725" s="3" t="inlineStr">
        <is>
          <t>지정되지않음</t>
        </is>
      </c>
      <c r="S2725" s="3" t="inlineStr">
        <is>
          <t>단독</t>
        </is>
      </c>
      <c r="T2725" s="3" t="inlineStr">
        <is>
          <t>완경사</t>
        </is>
      </c>
      <c r="U2725" s="3" t="inlineStr">
        <is>
          <t>사다리형</t>
        </is>
      </c>
      <c r="V2725" s="3" t="inlineStr">
        <is>
          <t>세로한면(불)</t>
        </is>
      </c>
    </row>
    <row r="2726">
      <c r="A2726" s="3" t="inlineStr">
        <is>
          <t>장군면 평기리 39</t>
        </is>
      </c>
      <c r="B2726" s="3" t="inlineStr">
        <is>
          <t>계획관리지역</t>
        </is>
      </c>
      <c r="C2726" s="3" t="inlineStr">
        <is>
          <t>대</t>
        </is>
      </c>
      <c r="D2726" s="3" t="inlineStr">
        <is>
          <t>대</t>
        </is>
      </c>
      <c r="E2726" s="3" t="inlineStr">
        <is>
          <t>매매</t>
        </is>
      </c>
      <c r="F2726" s="4" t="n">
        <v>72000</v>
      </c>
      <c r="G2726" s="4" t="n">
        <v>1320</v>
      </c>
      <c r="H2726" s="4" t="n">
        <v>399</v>
      </c>
      <c r="I2726" s="5" t="n">
        <v>180.5</v>
      </c>
      <c r="J2726" s="5" t="n">
        <v>73.59999999999999</v>
      </c>
      <c r="K2726" s="3" t="inlineStr">
        <is>
          <t>과수원과 대지 2필지입니다. 전원주택, 세컨하우스로 좋습니다</t>
        </is>
      </c>
      <c r="L2726" s="6">
        <f>HYPERLINK("https://fin.land.naver.com/articles/2652101499", "매물Link")</f>
        <v/>
      </c>
      <c r="M2726" s="6">
        <f>HYPERLINK("https://map.naver.com/p/search/장군면 평기리 39", "지도Link")</f>
        <v/>
      </c>
      <c r="N2726" s="6">
        <f>HYPERLINK("http://www.eum.go.kr/web/ar/lu/luLandDet.jsp?pnu=3611035022100390000&amp;isNoScr=script&amp;mode=search", "토지이음")</f>
        <v/>
      </c>
      <c r="O2726" s="3" t="inlineStr">
        <is>
          <t>미스터홈즈강남지사</t>
        </is>
      </c>
      <c r="P2726" s="4" t="n">
        <v>1</v>
      </c>
      <c r="Q2726" s="4" t="n">
        <v>610</v>
      </c>
      <c r="R2726" s="3" t="inlineStr">
        <is>
          <t>지정되지않음</t>
        </is>
      </c>
      <c r="S2726" s="3" t="inlineStr">
        <is>
          <t>단독</t>
        </is>
      </c>
      <c r="T2726" s="3" t="inlineStr">
        <is>
          <t>완경사</t>
        </is>
      </c>
      <c r="U2726" s="3" t="inlineStr">
        <is>
          <t>사다리형</t>
        </is>
      </c>
      <c r="V2726" s="3" t="inlineStr">
        <is>
          <t>세로한면(불)</t>
        </is>
      </c>
    </row>
    <row r="2727">
      <c r="A2727" s="3" t="inlineStr">
        <is>
          <t>장군면 평기리 39-6</t>
        </is>
      </c>
      <c r="B2727" s="3" t="inlineStr">
        <is>
          <t>계획관리지역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36000</v>
      </c>
      <c r="G2727" s="4" t="n">
        <v>710</v>
      </c>
      <c r="H2727" s="4" t="n">
        <v>215</v>
      </c>
      <c r="I2727" s="5" t="n">
        <v>167.4</v>
      </c>
      <c r="J2727" s="5" t="n">
        <v>52.9</v>
      </c>
      <c r="K2727" s="3" t="inlineStr">
        <is>
          <t>nan</t>
        </is>
      </c>
      <c r="L2727" s="6">
        <f>HYPERLINK("https://fin.land.naver.com/articles/2653858376", "매물Link")</f>
        <v/>
      </c>
      <c r="M2727" s="6">
        <f>HYPERLINK("https://map.naver.com/p/search/장군면 평기리 39-6", "지도Link")</f>
        <v/>
      </c>
      <c r="N2727" s="6">
        <f>HYPERLINK("http://www.eum.go.kr/web/ar/lu/luLandDet.jsp?pnu=3611035022100390006&amp;isNoScr=script&amp;mode=search", "토지이음")</f>
        <v/>
      </c>
      <c r="O2727" s="3" t="inlineStr">
        <is>
          <t>돈방석</t>
        </is>
      </c>
      <c r="P2727" s="4" t="n">
        <v>1</v>
      </c>
      <c r="Q2727" s="4" t="n">
        <v>710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장군면 평기리 산35</t>
        </is>
      </c>
      <c r="B2728" s="3" t="inlineStr">
        <is>
          <t>보전관리지역</t>
        </is>
      </c>
      <c r="C2728" s="3" t="inlineStr">
        <is>
          <t>임야</t>
        </is>
      </c>
      <c r="D2728" s="3" t="inlineStr">
        <is>
          <t>임야</t>
        </is>
      </c>
      <c r="E2728" s="3" t="inlineStr">
        <is>
          <t>매매</t>
        </is>
      </c>
      <c r="F2728" s="4" t="n">
        <v>234000</v>
      </c>
      <c r="G2728" s="4" t="n">
        <v>5157</v>
      </c>
      <c r="H2728" s="4" t="n">
        <v>1560</v>
      </c>
      <c r="I2728" s="5" t="n">
        <v>150</v>
      </c>
      <c r="J2728" s="5" t="n">
        <v>17.1</v>
      </c>
      <c r="K2728" s="3" t="inlineStr">
        <is>
          <t>세종시인근 전원주택지</t>
        </is>
      </c>
      <c r="L2728" s="6">
        <f>HYPERLINK("https://fin.land.naver.com/articles/2654278760", "매물Link")</f>
        <v/>
      </c>
      <c r="M2728" s="6">
        <f>HYPERLINK("https://map.naver.com/p/search/장군면 평기리 산35", "지도Link")</f>
        <v/>
      </c>
      <c r="N2728" s="6">
        <f>HYPERLINK("http://www.eum.go.kr/web/ar/lu/luLandDet.jsp?pnu=3611035022200350000&amp;isNoScr=script&amp;mode=search", "토지이음")</f>
        <v/>
      </c>
      <c r="O2728" s="3" t="inlineStr">
        <is>
          <t>그린</t>
        </is>
      </c>
      <c r="P2728" s="4" t="n">
        <v>1</v>
      </c>
      <c r="Q2728" s="4" t="n">
        <v>5157</v>
      </c>
      <c r="R2728" s="3" t="inlineStr">
        <is>
          <t>지정되지않음</t>
        </is>
      </c>
      <c r="S2728" s="3" t="inlineStr">
        <is>
          <t>자연림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세로한면(불)</t>
        </is>
      </c>
    </row>
    <row r="2729">
      <c r="A2729" s="3" t="inlineStr">
        <is>
          <t>장군면 평기리 산42-91</t>
        </is>
      </c>
      <c r="B2729" s="3" t="inlineStr">
        <is>
          <t>보전관리지역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70000</v>
      </c>
      <c r="G2729" s="4" t="n">
        <v>3306</v>
      </c>
      <c r="H2729" s="4" t="n">
        <v>1000</v>
      </c>
      <c r="I2729" s="5" t="n">
        <v>70</v>
      </c>
      <c r="J2729" s="5" t="n">
        <v>17.3</v>
      </c>
      <c r="K2729" s="3" t="inlineStr">
        <is>
          <t>장군면 평기리 임야 1000p  매매</t>
        </is>
      </c>
      <c r="L2729" s="6">
        <f>HYPERLINK("https://fin.land.naver.com/articles/2655141216", "매물Link")</f>
        <v/>
      </c>
      <c r="M2729" s="6">
        <f>HYPERLINK("https://map.naver.com/p/search/장군면 평기리 산42-91", "지도Link")</f>
        <v/>
      </c>
      <c r="N2729" s="6">
        <f>HYPERLINK("http://www.eum.go.kr/web/ar/lu/luLandDet.jsp?pnu=3611035022200420091&amp;isNoScr=script&amp;mode=search", "토지이음")</f>
        <v/>
      </c>
      <c r="O2729" s="3" t="inlineStr">
        <is>
          <t>명학아너비즈</t>
        </is>
      </c>
      <c r="P2729" s="4" t="n">
        <v>1</v>
      </c>
      <c r="Q2729" s="4" t="n">
        <v>3306</v>
      </c>
      <c r="R2729" s="3" t="inlineStr">
        <is>
          <t>지정되지않음</t>
        </is>
      </c>
      <c r="S2729" s="3" t="inlineStr">
        <is>
          <t>자연림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장군면 하봉리 115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23500</v>
      </c>
      <c r="G2730" s="4" t="n">
        <v>389</v>
      </c>
      <c r="H2730" s="4" t="n">
        <v>118</v>
      </c>
      <c r="I2730" s="5" t="n">
        <v>199.2</v>
      </c>
      <c r="J2730" s="5" t="n">
        <v>74.09999999999999</v>
      </c>
      <c r="K2730" s="3" t="inlineStr">
        <is>
          <t>근린생활시설 건축허가 득한 계획관리지역의 전을 급매합니다</t>
        </is>
      </c>
      <c r="L2730" s="6">
        <f>HYPERLINK("https://fin.land.naver.com/articles/2656250640", "매물Link")</f>
        <v/>
      </c>
      <c r="M2730" s="6">
        <f>HYPERLINK("https://map.naver.com/p/search/장군면 하봉리 115", "지도Link")</f>
        <v/>
      </c>
      <c r="N2730" s="6">
        <f>HYPERLINK("http://www.eum.go.kr/web/ar/lu/luLandDet.jsp?pnu=3611035026101150000&amp;isNoScr=script&amp;mode=search", "토지이음")</f>
        <v/>
      </c>
      <c r="O2730" s="3" t="inlineStr">
        <is>
          <t>스마일세종</t>
        </is>
      </c>
      <c r="P2730" s="4" t="n">
        <v>1</v>
      </c>
      <c r="Q2730" s="4" t="n">
        <v>389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장군면 하봉리 118-12</t>
        </is>
      </c>
      <c r="B2731" s="3" t="inlineStr">
        <is>
          <t>계획관리지역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220000</v>
      </c>
      <c r="G2731" s="4" t="n">
        <v>4166</v>
      </c>
      <c r="H2731" s="4" t="n">
        <v>1260</v>
      </c>
      <c r="I2731" s="5" t="n">
        <v>174.6</v>
      </c>
      <c r="J2731" s="5" t="n">
        <v>24.2</v>
      </c>
      <c r="K2731" s="3" t="inlineStr">
        <is>
          <t>장군면 하봉리 마을안길에 접한 경사도 완만한 계획관리지역의 토임 입니다</t>
        </is>
      </c>
      <c r="L2731" s="6">
        <f>HYPERLINK("https://fin.land.naver.com/articles/2650955499", "매물Link")</f>
        <v/>
      </c>
      <c r="M2731" s="6">
        <f>HYPERLINK("https://map.naver.com/p/search/장군면 하봉리 118-12", "지도Link")</f>
        <v/>
      </c>
      <c r="N2731" s="6">
        <f>HYPERLINK("http://www.eum.go.kr/web/ar/lu/luLandDet.jsp?pnu=3611035026101180012&amp;isNoScr=script&amp;mode=search", "토지이음")</f>
        <v/>
      </c>
      <c r="O2731" s="3" t="inlineStr">
        <is>
          <t>스마일세종</t>
        </is>
      </c>
      <c r="P2731" s="4" t="n">
        <v>1</v>
      </c>
      <c r="Q2731" s="4" t="n">
        <v>4166</v>
      </c>
      <c r="R2731" s="3" t="inlineStr">
        <is>
          <t>지정되지않음</t>
        </is>
      </c>
      <c r="S2731" s="3" t="inlineStr">
        <is>
          <t>자연림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장군면 하봉리 121</t>
        </is>
      </c>
      <c r="B2732" s="3" t="inlineStr">
        <is>
          <t>계획관리지역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114000</v>
      </c>
      <c r="G2732" s="4" t="n">
        <v>4709</v>
      </c>
      <c r="H2732" s="4" t="n">
        <v>1424</v>
      </c>
      <c r="I2732" s="5" t="n">
        <v>80.09999999999999</v>
      </c>
      <c r="J2732" s="5" t="n">
        <v>50</v>
      </c>
      <c r="K2732" s="3" t="inlineStr">
        <is>
          <t>장군면 하봉리 계획관리지역</t>
        </is>
      </c>
      <c r="L2732" s="6">
        <f>HYPERLINK("https://fin.land.naver.com/articles/2654009126", "매물Link")</f>
        <v/>
      </c>
      <c r="M2732" s="6">
        <f>HYPERLINK("https://map.naver.com/p/search/장군면 하봉리 121", "지도Link")</f>
        <v/>
      </c>
      <c r="N2732" s="6">
        <f>HYPERLINK("http://www.eum.go.kr/web/ar/lu/luLandDet.jsp?pnu=3611035026101210000&amp;isNoScr=script&amp;mode=search", "토지이음")</f>
        <v/>
      </c>
      <c r="O2732" s="3" t="inlineStr">
        <is>
          <t>KB세종</t>
        </is>
      </c>
      <c r="P2732" s="4" t="n">
        <v>1</v>
      </c>
      <c r="Q2732" s="4" t="n">
        <v>3471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장군면 하봉리 147</t>
        </is>
      </c>
      <c r="B2733" s="3" t="inlineStr">
        <is>
          <t>계획관리지역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72000</v>
      </c>
      <c r="G2733" s="4" t="n">
        <v>1540</v>
      </c>
      <c r="H2733" s="4" t="n">
        <v>466</v>
      </c>
      <c r="I2733" s="5" t="n">
        <v>154.5</v>
      </c>
      <c r="J2733" s="5" t="n">
        <v>60.6</v>
      </c>
      <c r="K2733" s="3" t="inlineStr">
        <is>
          <t>포장도로접,세종고속도로개통호재</t>
        </is>
      </c>
      <c r="L2733" s="6">
        <f>HYPERLINK("https://fin.land.naver.com/articles/2653135396", "매물Link")</f>
        <v/>
      </c>
      <c r="M2733" s="6">
        <f>HYPERLINK("https://map.naver.com/p/search/장군면 하봉리 147", "지도Link")</f>
        <v/>
      </c>
      <c r="N2733" s="6">
        <f>HYPERLINK("http://www.eum.go.kr/web/ar/lu/luLandDet.jsp?pnu=3611035026101470000&amp;isNoScr=script&amp;mode=search", "토지이음")</f>
        <v/>
      </c>
      <c r="O2733" s="3" t="inlineStr">
        <is>
          <t>개포대박</t>
        </is>
      </c>
      <c r="P2733" s="4" t="n">
        <v>1</v>
      </c>
      <c r="Q2733" s="4" t="n">
        <v>1540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장군면 하봉리 147</t>
        </is>
      </c>
      <c r="B2734" s="3" t="inlineStr">
        <is>
          <t>계획관리지역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72000</v>
      </c>
      <c r="G2734" s="4" t="n">
        <v>1540</v>
      </c>
      <c r="H2734" s="4" t="n">
        <v>466</v>
      </c>
      <c r="I2734" s="5" t="n">
        <v>154.5</v>
      </c>
      <c r="J2734" s="5" t="n">
        <v>60.6</v>
      </c>
      <c r="K2734" s="3" t="inlineStr">
        <is>
          <t>조율가능 계획관리 근생,창고,카페 가능 포장도로접함</t>
        </is>
      </c>
      <c r="L2734" s="6">
        <f>HYPERLINK("https://fin.land.naver.com/articles/2653842985", "매물Link")</f>
        <v/>
      </c>
      <c r="M2734" s="6">
        <f>HYPERLINK("https://map.naver.com/p/search/장군면 하봉리 147", "지도Link")</f>
        <v/>
      </c>
      <c r="N2734" s="6">
        <f>HYPERLINK("http://www.eum.go.kr/web/ar/lu/luLandDet.jsp?pnu=3611035026101470000&amp;isNoScr=script&amp;mode=search", "토지이음")</f>
        <v/>
      </c>
      <c r="O2734" s="3" t="inlineStr">
        <is>
          <t>세종스타</t>
        </is>
      </c>
      <c r="P2734" s="4" t="n">
        <v>3</v>
      </c>
      <c r="Q2734" s="4" t="n">
        <v>1540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장군면 하봉리 163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월세</t>
        </is>
      </c>
      <c r="F2735" s="4" t="n">
        <v>5000</v>
      </c>
      <c r="G2735" s="4" t="n">
        <v>198</v>
      </c>
      <c r="H2735" s="4" t="n">
        <v>60</v>
      </c>
      <c r="I2735" s="5" t="n">
        <v>0.8</v>
      </c>
      <c r="J2735" s="5" t="n">
        <v>128.4</v>
      </c>
      <c r="K2735" s="3" t="inlineStr">
        <is>
          <t>교회, 기도원, 요양시설, 작품작업장,캠핑장으로 추천</t>
        </is>
      </c>
      <c r="L2735" s="6">
        <f>HYPERLINK("https://fin.land.naver.com/articles/2652652002", "매물Link")</f>
        <v/>
      </c>
      <c r="M2735" s="6">
        <f>HYPERLINK("https://map.naver.com/p/search/장군면 하봉리 163", "지도Link")</f>
        <v/>
      </c>
      <c r="N2735" s="6">
        <f>HYPERLINK("http://www.eum.go.kr/web/ar/lu/luLandDet.jsp?pnu=3611035026101630000&amp;isNoScr=script&amp;mode=search", "토지이음")</f>
        <v/>
      </c>
      <c r="O2735" s="3" t="inlineStr">
        <is>
          <t>고운동리치세종</t>
        </is>
      </c>
      <c r="P2735" s="4" t="n">
        <v>1</v>
      </c>
      <c r="Q2735" s="4" t="n">
        <v>759</v>
      </c>
      <c r="R2735" s="3" t="inlineStr">
        <is>
          <t>지정되지않음</t>
        </is>
      </c>
      <c r="S2735" s="3" t="inlineStr">
        <is>
          <t>주상용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장군면 하봉리 163-4</t>
        </is>
      </c>
      <c r="B2736" s="3" t="inlineStr">
        <is>
          <t>계획관리지역</t>
        </is>
      </c>
      <c r="C2736" s="3" t="inlineStr">
        <is>
          <t>목장용지</t>
        </is>
      </c>
      <c r="D2736" s="3" t="inlineStr">
        <is>
          <t>목장용지</t>
        </is>
      </c>
      <c r="E2736" s="3" t="inlineStr">
        <is>
          <t>매매</t>
        </is>
      </c>
      <c r="F2736" s="4" t="n">
        <v>100000</v>
      </c>
      <c r="G2736" s="4" t="n">
        <v>1044</v>
      </c>
      <c r="H2736" s="4" t="n">
        <v>316</v>
      </c>
      <c r="I2736" s="5" t="n">
        <v>316.5</v>
      </c>
      <c r="J2736" s="5" t="n">
        <v>50.5</v>
      </c>
      <c r="K2736" s="3" t="inlineStr">
        <is>
          <t>하봉리토지매매 주택 목장용지있음</t>
        </is>
      </c>
      <c r="L2736" s="6">
        <f>HYPERLINK("https://fin.land.naver.com/articles/2653642172", "매물Link")</f>
        <v/>
      </c>
      <c r="M2736" s="6">
        <f>HYPERLINK("https://map.naver.com/p/search/장군면 하봉리 163-4", "지도Link")</f>
        <v/>
      </c>
      <c r="N2736" s="6">
        <f>HYPERLINK("http://www.eum.go.kr/web/ar/lu/luLandDet.jsp?pnu=3611035026101630004&amp;isNoScr=script&amp;mode=search", "토지이음")</f>
        <v/>
      </c>
      <c r="O2736" s="3" t="inlineStr">
        <is>
          <t>고운동리치세종</t>
        </is>
      </c>
      <c r="P2736" s="4" t="n">
        <v>1</v>
      </c>
      <c r="Q2736" s="4" t="n">
        <v>1044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장군면 하봉리 195</t>
        </is>
      </c>
      <c r="B2737" s="3" t="inlineStr">
        <is>
          <t>농림지역</t>
        </is>
      </c>
      <c r="C2737" s="3" t="inlineStr">
        <is>
          <t>전</t>
        </is>
      </c>
      <c r="D2737" s="3" t="inlineStr">
        <is>
          <t>대</t>
        </is>
      </c>
      <c r="E2737" s="3" t="inlineStr">
        <is>
          <t>매매</t>
        </is>
      </c>
      <c r="F2737" s="4" t="n">
        <v>62000</v>
      </c>
      <c r="G2737" s="4" t="n">
        <v>1858</v>
      </c>
      <c r="H2737" s="4" t="n">
        <v>562</v>
      </c>
      <c r="I2737" s="5" t="n">
        <v>110.3</v>
      </c>
      <c r="J2737" s="5" t="n">
        <v>19.9</v>
      </c>
      <c r="K2737" s="3" t="inlineStr">
        <is>
          <t>개발 될 토지</t>
        </is>
      </c>
      <c r="L2737" s="6">
        <f>HYPERLINK("https://fin.land.naver.com/articles/2652680356", "매물Link")</f>
        <v/>
      </c>
      <c r="M2737" s="6">
        <f>HYPERLINK("https://map.naver.com/p/search/장군면 하봉리 195", "지도Link")</f>
        <v/>
      </c>
      <c r="N2737" s="6">
        <f>HYPERLINK("http://www.eum.go.kr/web/ar/lu/luLandDet.jsp?pnu=3611035026101950000&amp;isNoScr=script&amp;mode=search", "토지이음")</f>
        <v/>
      </c>
      <c r="O2737" s="3" t="inlineStr">
        <is>
          <t>새땅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장군면 하봉리 240-1</t>
        </is>
      </c>
      <c r="B2738" s="3" t="inlineStr">
        <is>
          <t>농림지역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68000</v>
      </c>
      <c r="G2738" s="4" t="n">
        <v>2029</v>
      </c>
      <c r="H2738" s="4" t="n">
        <v>614</v>
      </c>
      <c r="I2738" s="5" t="n">
        <v>110.7</v>
      </c>
      <c r="J2738" s="5" t="n">
        <v>29.6</v>
      </c>
      <c r="K2738" s="3" t="inlineStr">
        <is>
          <t>하봉리저수지인근으로 지목은 답 가격조정가능</t>
        </is>
      </c>
      <c r="L2738" s="6">
        <f>HYPERLINK("https://fin.land.naver.com/articles/2656225299", "매물Link")</f>
        <v/>
      </c>
      <c r="M2738" s="6">
        <f>HYPERLINK("https://map.naver.com/p/search/장군면 하봉리 240-1", "지도Link")</f>
        <v/>
      </c>
      <c r="N2738" s="6">
        <f>HYPERLINK("http://www.eum.go.kr/web/ar/lu/luLandDet.jsp?pnu=3611035026102400001&amp;isNoScr=script&amp;mode=search", "토지이음")</f>
        <v/>
      </c>
      <c r="O2738" s="3" t="inlineStr">
        <is>
          <t>고운동리치세종</t>
        </is>
      </c>
      <c r="P2738" s="4" t="n">
        <v>2</v>
      </c>
      <c r="Q2738" s="4" t="n">
        <v>2029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평지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장군면 하봉리 255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40000</v>
      </c>
      <c r="G2739" s="4" t="n">
        <v>1124</v>
      </c>
      <c r="H2739" s="4" t="n">
        <v>340</v>
      </c>
      <c r="I2739" s="5" t="n">
        <v>117.6</v>
      </c>
      <c r="J2739" s="5" t="n">
        <v>44</v>
      </c>
      <c r="K2739" s="3" t="inlineStr">
        <is>
          <t>송선동현지구 인근 계획관리지역의 전으로 마을포장도로에 접한 투자용 토지</t>
        </is>
      </c>
      <c r="L2739" s="6">
        <f>HYPERLINK("https://fin.land.naver.com/articles/2653855500", "매물Link")</f>
        <v/>
      </c>
      <c r="M2739" s="6">
        <f>HYPERLINK("https://map.naver.com/p/search/장군면 하봉리 255", "지도Link")</f>
        <v/>
      </c>
      <c r="N2739" s="6">
        <f>HYPERLINK("http://www.eum.go.kr/web/ar/lu/luLandDet.jsp?pnu=3611035026102550000&amp;isNoScr=script&amp;mode=search",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1124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장군면 하봉리 296-24</t>
        </is>
      </c>
      <c r="B2740" s="3" t="inlineStr">
        <is>
          <t>보전관리지역</t>
        </is>
      </c>
      <c r="C2740" s="3" t="inlineStr">
        <is>
          <t>대</t>
        </is>
      </c>
      <c r="D2740" s="3" t="inlineStr">
        <is>
          <t>대</t>
        </is>
      </c>
      <c r="E2740" s="3" t="inlineStr">
        <is>
          <t>매매</t>
        </is>
      </c>
      <c r="F2740" s="4" t="n">
        <v>40500</v>
      </c>
      <c r="G2740" s="4" t="n">
        <v>420</v>
      </c>
      <c r="H2740" s="4" t="n">
        <v>127</v>
      </c>
      <c r="I2740" s="5" t="n">
        <v>318.9</v>
      </c>
      <c r="J2740" s="5" t="n">
        <v>73.59999999999999</v>
      </c>
      <c r="K2740" s="3" t="inlineStr">
        <is>
          <t>포장도로, 바로 건축가능, 직접보시면 더 좋아요</t>
        </is>
      </c>
      <c r="L2740" s="6">
        <f>HYPERLINK("https://fin.land.naver.com/articles/2651618608", "매물Link")</f>
        <v/>
      </c>
      <c r="M2740" s="6">
        <f>HYPERLINK("https://map.naver.com/p/search/장군면 하봉리 296-24", "지도Link")</f>
        <v/>
      </c>
      <c r="N2740" s="6">
        <f>HYPERLINK("http://www.eum.go.kr/web/ar/lu/luLandDet.jsp?pnu=3611035026102960024&amp;isNoScr=script&amp;mode=search", "토지이음")</f>
        <v/>
      </c>
      <c r="O2740" s="3" t="inlineStr">
        <is>
          <t>리브</t>
        </is>
      </c>
      <c r="P2740" s="4" t="n">
        <v>1</v>
      </c>
      <c r="Q2740" s="4" t="n">
        <v>420</v>
      </c>
      <c r="R2740" s="3" t="inlineStr">
        <is>
          <t>지정되지않음</t>
        </is>
      </c>
      <c r="S2740" s="3" t="inlineStr">
        <is>
          <t>주거기타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장군면 하봉리 296-34</t>
        </is>
      </c>
      <c r="B2741" s="3" t="inlineStr">
        <is>
          <t>보전관리지역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350000</v>
      </c>
      <c r="G2741" s="4" t="n">
        <v>17408</v>
      </c>
      <c r="H2741" s="4" t="n">
        <v>5266</v>
      </c>
      <c r="I2741" s="5" t="n">
        <v>66.5</v>
      </c>
      <c r="J2741" s="5" t="n">
        <v>23.7</v>
      </c>
      <c r="K2741" s="3" t="inlineStr">
        <is>
          <t>개발하기 좋은 위치에 넓은 토지, 공주 송선 동현지구 인근</t>
        </is>
      </c>
      <c r="L2741" s="6">
        <f>HYPERLINK("https://fin.land.naver.com/articles/2653996096", "매물Link")</f>
        <v/>
      </c>
      <c r="M2741" s="6">
        <f>HYPERLINK("https://map.naver.com/p/search/장군면 하봉리 296-34", "지도Link")</f>
        <v/>
      </c>
      <c r="N2741" s="6">
        <f>HYPERLINK("http://www.eum.go.kr/web/ar/lu/luLandDet.jsp?pnu=3611035026102960034&amp;isNoScr=script&amp;mode=search", "토지이음")</f>
        <v/>
      </c>
      <c r="O2741" s="3" t="inlineStr">
        <is>
          <t>(주)미르</t>
        </is>
      </c>
      <c r="P2741" s="4" t="n">
        <v>1</v>
      </c>
      <c r="Q2741" s="4" t="n">
        <v>2930</v>
      </c>
      <c r="R2741" s="3" t="inlineStr">
        <is>
          <t>지정되지않음</t>
        </is>
      </c>
      <c r="S2741" s="3" t="inlineStr">
        <is>
          <t>자연림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장군면 하봉리 296-34</t>
        </is>
      </c>
      <c r="B2742" s="3" t="inlineStr">
        <is>
          <t>보전관리지역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315000</v>
      </c>
      <c r="G2742" s="4" t="n">
        <v>17408</v>
      </c>
      <c r="H2742" s="4" t="n">
        <v>5266</v>
      </c>
      <c r="I2742" s="5" t="n">
        <v>59.8</v>
      </c>
      <c r="J2742" s="5" t="n">
        <v>23.7</v>
      </c>
      <c r="K2742" s="3" t="inlineStr">
        <is>
          <t>서세종IC 7분거리,세종시 장군면 전원주택 용지 매매</t>
        </is>
      </c>
      <c r="L2742" s="6">
        <f>HYPERLINK("https://fin.land.naver.com/articles/2656578441", "매물Link")</f>
        <v/>
      </c>
      <c r="M2742" s="6">
        <f>HYPERLINK("https://map.naver.com/p/search/장군면 하봉리 296-34", "지도Link")</f>
        <v/>
      </c>
      <c r="N2742" s="6">
        <f>HYPERLINK("http://www.eum.go.kr/web/ar/lu/luLandDet.jsp?pnu=3611035026102960034&amp;isNoScr=script&amp;mode=search", "토지이음")</f>
        <v/>
      </c>
      <c r="O2742" s="3" t="inlineStr">
        <is>
          <t>SK랜드</t>
        </is>
      </c>
      <c r="P2742" s="4" t="n">
        <v>1</v>
      </c>
      <c r="Q2742" s="4" t="n">
        <v>2930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장군면 하봉리 300-6</t>
        </is>
      </c>
      <c r="B2743" s="3" t="inlineStr">
        <is>
          <t>보전관리지역</t>
        </is>
      </c>
      <c r="C2743" s="3" t="inlineStr">
        <is>
          <t>대</t>
        </is>
      </c>
      <c r="D2743" s="3" t="inlineStr">
        <is>
          <t>대</t>
        </is>
      </c>
      <c r="E2743" s="3" t="inlineStr">
        <is>
          <t>매매</t>
        </is>
      </c>
      <c r="F2743" s="4" t="n">
        <v>39100</v>
      </c>
      <c r="G2743" s="4" t="n">
        <v>568</v>
      </c>
      <c r="H2743" s="4" t="n">
        <v>172</v>
      </c>
      <c r="I2743" s="5" t="n">
        <v>227.3</v>
      </c>
      <c r="J2743" s="5" t="n">
        <v>71.90000000000001</v>
      </c>
      <c r="K2743" s="3" t="inlineStr">
        <is>
          <t>nan</t>
        </is>
      </c>
      <c r="L2743" s="6">
        <f>HYPERLINK("https://fin.land.naver.com/articles/2656059301", "매물Link")</f>
        <v/>
      </c>
      <c r="M2743" s="6">
        <f>HYPERLINK("https://map.naver.com/p/search/장군면 하봉리 300-6", "지도Link")</f>
        <v/>
      </c>
      <c r="N2743" s="6">
        <f>HYPERLINK("http://www.eum.go.kr/web/ar/lu/luLandDet.jsp?pnu=3611035026103000006&amp;isNoScr=script&amp;mode=search", "토지이음")</f>
        <v/>
      </c>
      <c r="O2743" s="3" t="inlineStr">
        <is>
          <t>고운하임</t>
        </is>
      </c>
      <c r="P2743" s="4" t="n">
        <v>1</v>
      </c>
      <c r="Q2743" s="4" t="n">
        <v>568</v>
      </c>
      <c r="R2743" s="3" t="inlineStr">
        <is>
          <t>지정되지않음</t>
        </is>
      </c>
      <c r="S2743" s="3" t="inlineStr">
        <is>
          <t>주거나지</t>
        </is>
      </c>
      <c r="T2743" s="3" t="inlineStr">
        <is>
          <t>완경사</t>
        </is>
      </c>
      <c r="U2743" s="3" t="inlineStr">
        <is>
          <t>사다리형</t>
        </is>
      </c>
      <c r="V2743" s="3" t="inlineStr">
        <is>
          <t>세로한면(가)</t>
        </is>
      </c>
    </row>
    <row r="2744">
      <c r="A2744" s="3" t="inlineStr">
        <is>
          <t>장군면 하봉리 310</t>
        </is>
      </c>
      <c r="B2744" s="3" t="inlineStr">
        <is>
          <t>계획관리지역</t>
        </is>
      </c>
      <c r="C2744" s="3" t="inlineStr">
        <is>
          <t>목장용지</t>
        </is>
      </c>
      <c r="D2744" s="3" t="inlineStr">
        <is>
          <t>대</t>
        </is>
      </c>
      <c r="E2744" s="3" t="inlineStr">
        <is>
          <t>매매</t>
        </is>
      </c>
      <c r="F2744" s="4" t="n">
        <v>200000</v>
      </c>
      <c r="G2744" s="4" t="n">
        <v>4555</v>
      </c>
      <c r="H2744" s="4" t="n">
        <v>1378</v>
      </c>
      <c r="I2744" s="5" t="n">
        <v>145.1</v>
      </c>
      <c r="J2744" s="5" t="n">
        <v>58</v>
      </c>
      <c r="K2744" s="3" t="inlineStr">
        <is>
          <t>2차선 도로와 연접 무엇을 해도 좋을 자리 향후 전망 좋은 곳</t>
        </is>
      </c>
      <c r="L2744" s="6">
        <f>HYPERLINK("https://fin.land.naver.com/articles/2652933119", "매물Link")</f>
        <v/>
      </c>
      <c r="M2744" s="6">
        <f>HYPERLINK("https://map.naver.com/p/search/장군면 하봉리 310", "지도Link")</f>
        <v/>
      </c>
      <c r="N2744" s="6">
        <f>HYPERLINK("http://www.eum.go.kr/web/ar/lu/luLandDet.jsp?pnu=3611035026103100000&amp;isNoScr=script&amp;mode=search", "토지이음")</f>
        <v/>
      </c>
      <c r="O2744" s="3" t="inlineStr">
        <is>
          <t>세종공주원탑</t>
        </is>
      </c>
      <c r="P2744" s="4" t="n">
        <v>1</v>
      </c>
      <c r="Q2744" s="4" t="n">
        <v>1146</v>
      </c>
      <c r="R2744" s="3" t="inlineStr">
        <is>
          <t>지정되지않음</t>
        </is>
      </c>
      <c r="S2744" s="3" t="inlineStr">
        <is>
          <t>전축사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장군면 하봉리 34-3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95000</v>
      </c>
      <c r="G2745" s="4" t="n">
        <v>1517</v>
      </c>
      <c r="H2745" s="4" t="n">
        <v>459</v>
      </c>
      <c r="I2745" s="5" t="n">
        <v>207</v>
      </c>
      <c r="J2745" s="5" t="n">
        <v>65.59999999999999</v>
      </c>
      <c r="K2745" s="3" t="inlineStr">
        <is>
          <t>진.출입 원활 계획관리지역 무엇을 해도 좋을 자리</t>
        </is>
      </c>
      <c r="L2745" s="6">
        <f>HYPERLINK("https://fin.land.naver.com/articles/2655508013", "매물Link")</f>
        <v/>
      </c>
      <c r="M2745" s="6">
        <f>HYPERLINK("https://map.naver.com/p/search/장군면 하봉리 34-3", "지도Link")</f>
        <v/>
      </c>
      <c r="N2745" s="6">
        <f>HYPERLINK("http://www.eum.go.kr/web/ar/lu/luLandDet.jsp?pnu=3611035026100340003&amp;isNoScr=script&amp;mode=search", "토지이음")</f>
        <v/>
      </c>
      <c r="O2745" s="3" t="inlineStr">
        <is>
          <t>세종공주원탑</t>
        </is>
      </c>
      <c r="P2745" s="4" t="n">
        <v>1</v>
      </c>
      <c r="Q2745" s="4" t="n">
        <v>188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평지</t>
        </is>
      </c>
      <c r="U2745" s="3" t="inlineStr">
        <is>
          <t>사다리형</t>
        </is>
      </c>
      <c r="V2745" s="3" t="inlineStr">
        <is>
          <t>세로한면(가)</t>
        </is>
      </c>
    </row>
    <row r="2746">
      <c r="A2746" s="3" t="inlineStr">
        <is>
          <t>장군면 하봉리 36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173000</v>
      </c>
      <c r="G2746" s="4" t="n">
        <v>2199</v>
      </c>
      <c r="H2746" s="4" t="n">
        <v>665</v>
      </c>
      <c r="I2746" s="5" t="n">
        <v>260.2</v>
      </c>
      <c r="J2746" s="5" t="n">
        <v>63.8</v>
      </c>
      <c r="K2746" s="3" t="inlineStr">
        <is>
          <t>장군면 하봉리 구거 옆 계획관리 토지, 장군면 소재지, 서세종IC 인근</t>
        </is>
      </c>
      <c r="L2746" s="6">
        <f>HYPERLINK("https://fin.land.naver.com/articles/2654029859", "매물Link")</f>
        <v/>
      </c>
      <c r="M2746" s="6">
        <f>HYPERLINK("https://map.naver.com/p/search/장군면 하봉리 36", "지도Link")</f>
        <v/>
      </c>
      <c r="N2746" s="6">
        <f>HYPERLINK("http://www.eum.go.kr/web/ar/lu/luLandDet.jsp?pnu=3611035026100360000&amp;isNoScr=script&amp;mode=search",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1802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장군면 하봉리 37-20</t>
        </is>
      </c>
      <c r="B2747" s="3" t="inlineStr">
        <is>
          <t>계획관리지역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120000</v>
      </c>
      <c r="G2747" s="4" t="n">
        <v>1125</v>
      </c>
      <c r="H2747" s="4" t="n">
        <v>340</v>
      </c>
      <c r="I2747" s="5" t="n">
        <v>352.9</v>
      </c>
      <c r="J2747" s="5" t="n">
        <v>119.7</v>
      </c>
      <c r="K2747" s="3" t="inlineStr">
        <is>
          <t>서세종IC인근.4차선포장도로변.계획관리지역.광고효과최고.단독음식점및물류</t>
        </is>
      </c>
      <c r="L2747" s="6">
        <f>HYPERLINK("https://fin.land.naver.com/articles/2656100117", "매물Link")</f>
        <v/>
      </c>
      <c r="M2747" s="6">
        <f>HYPERLINK("https://map.naver.com/p/search/장군면 하봉리 37-20", "지도Link")</f>
        <v/>
      </c>
      <c r="N2747" s="6">
        <f>HYPERLINK("http://www.eum.go.kr/web/ar/lu/luLandDet.jsp?pnu=3611035026100370020&amp;isNoScr=script&amp;mode=search", "토지이음")</f>
        <v/>
      </c>
      <c r="O2747" s="3" t="inlineStr">
        <is>
          <t>돈방석</t>
        </is>
      </c>
      <c r="P2747" s="4" t="n">
        <v>1</v>
      </c>
      <c r="Q2747" s="4" t="n">
        <v>1125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소로한면</t>
        </is>
      </c>
    </row>
    <row r="2748">
      <c r="A2748" s="3" t="inlineStr">
        <is>
          <t>장군면 하봉리 37-20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65000</v>
      </c>
      <c r="G2748" s="4" t="n">
        <v>1125</v>
      </c>
      <c r="H2748" s="4" t="n">
        <v>340</v>
      </c>
      <c r="I2748" s="5" t="n">
        <v>191.2</v>
      </c>
      <c r="J2748" s="5" t="n">
        <v>119.7</v>
      </c>
      <c r="K2748" s="3" t="inlineStr">
        <is>
          <t>급매 좋은가격,  귀한 계획관리 ,  투자가치높은토지 , 위치굿,대로변</t>
        </is>
      </c>
      <c r="L2748" s="6">
        <f>HYPERLINK("https://fin.land.naver.com/articles/2652357798", "매물Link")</f>
        <v/>
      </c>
      <c r="M2748" s="6">
        <f>HYPERLINK("https://map.naver.com/p/search/장군면 하봉리 37-20", "지도Link")</f>
        <v/>
      </c>
      <c r="N2748" s="6">
        <f>HYPERLINK("http://www.eum.go.kr/web/ar/lu/luLandDet.jsp?pnu=3611035026100370020&amp;isNoScr=script&amp;mode=search", "토지이음")</f>
        <v/>
      </c>
      <c r="O2748" s="3" t="inlineStr">
        <is>
          <t>세종보물</t>
        </is>
      </c>
      <c r="P2748" s="4" t="n">
        <v>1</v>
      </c>
      <c r="Q2748" s="4" t="n">
        <v>1125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소로한면</t>
        </is>
      </c>
    </row>
    <row r="2749">
      <c r="A2749" s="3" t="inlineStr">
        <is>
          <t>장군면 하봉리 37-36</t>
        </is>
      </c>
      <c r="B2749" s="3" t="inlineStr">
        <is>
          <t>계획관리지역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39000</v>
      </c>
      <c r="G2749" s="4" t="n">
        <v>461</v>
      </c>
      <c r="H2749" s="4" t="n">
        <v>139</v>
      </c>
      <c r="I2749" s="5" t="n">
        <v>280.6</v>
      </c>
      <c r="J2749" s="5" t="n">
        <v>84.40000000000001</v>
      </c>
      <c r="K2749" s="3" t="inlineStr">
        <is>
          <t>서세종ic 5분거리 창고적지</t>
        </is>
      </c>
      <c r="L2749" s="6">
        <f>HYPERLINK("https://fin.land.naver.com/articles/2655765502", "매물Link")</f>
        <v/>
      </c>
      <c r="M2749" s="6">
        <f>HYPERLINK("https://map.naver.com/p/search/장군면 하봉리 37-36", "지도Link")</f>
        <v/>
      </c>
      <c r="N2749" s="6">
        <f>HYPERLINK("http://www.eum.go.kr/web/ar/lu/luLandDet.jsp?pnu=3611035026100370036&amp;isNoScr=script&amp;mode=search", "토지이음")</f>
        <v/>
      </c>
      <c r="O2749" s="3" t="inlineStr">
        <is>
          <t>세종천지</t>
        </is>
      </c>
      <c r="P2749" s="4" t="n">
        <v>1</v>
      </c>
      <c r="Q2749" s="4" t="n">
        <v>461</v>
      </c>
      <c r="R2749" s="3" t="inlineStr">
        <is>
          <t>지정되지않음</t>
        </is>
      </c>
      <c r="S2749" s="3" t="inlineStr">
        <is>
          <t>전기타</t>
        </is>
      </c>
      <c r="T2749" s="3" t="inlineStr">
        <is>
          <t>평지</t>
        </is>
      </c>
      <c r="U2749" s="3" t="inlineStr">
        <is>
          <t>사다리형</t>
        </is>
      </c>
      <c r="V2749" s="3" t="inlineStr">
        <is>
          <t>세로한면(가)</t>
        </is>
      </c>
    </row>
    <row r="2750">
      <c r="A2750" s="3" t="inlineStr">
        <is>
          <t>장군면 하봉리 37-77</t>
        </is>
      </c>
      <c r="B2750" s="3" t="inlineStr">
        <is>
          <t>계획관리지역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43000</v>
      </c>
      <c r="G2750" s="4" t="n">
        <v>510</v>
      </c>
      <c r="H2750" s="4" t="n">
        <v>154</v>
      </c>
      <c r="I2750" s="5" t="n">
        <v>279.2</v>
      </c>
      <c r="J2750" s="5" t="n">
        <v>84.40000000000001</v>
      </c>
      <c r="K2750" s="3" t="inlineStr">
        <is>
          <t>서세종ic 5분 근생 창고 적지</t>
        </is>
      </c>
      <c r="L2750" s="6">
        <f>HYPERLINK("https://fin.land.naver.com/articles/2654706807", "매물Link")</f>
        <v/>
      </c>
      <c r="M2750" s="6">
        <f>HYPERLINK("https://map.naver.com/p/search/장군면 하봉리 37-77", "지도Link")</f>
        <v/>
      </c>
      <c r="N2750" s="6">
        <f>HYPERLINK("http://www.eum.go.kr/web/ar/lu/luLandDet.jsp?pnu=3611035026100370077&amp;isNoScr=script&amp;mode=search", "토지이음")</f>
        <v/>
      </c>
      <c r="O2750" s="3" t="inlineStr">
        <is>
          <t>세종천지</t>
        </is>
      </c>
      <c r="P2750" s="4" t="n">
        <v>1</v>
      </c>
      <c r="Q2750" s="4" t="n">
        <v>510</v>
      </c>
      <c r="R2750" s="3" t="inlineStr">
        <is>
          <t>지정되지않음</t>
        </is>
      </c>
      <c r="S2750" s="3" t="inlineStr">
        <is>
          <t>전기타</t>
        </is>
      </c>
      <c r="T2750" s="3" t="inlineStr">
        <is>
          <t>평지</t>
        </is>
      </c>
      <c r="U2750" s="3" t="inlineStr">
        <is>
          <t>사다리형</t>
        </is>
      </c>
      <c r="V2750" s="3" t="inlineStr">
        <is>
          <t>세로한면(가)</t>
        </is>
      </c>
    </row>
    <row r="2751">
      <c r="A2751" s="3" t="inlineStr">
        <is>
          <t>장군면 하봉리 37-83</t>
        </is>
      </c>
      <c r="B2751" s="3" t="inlineStr">
        <is>
          <t>계획관리지역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73000</v>
      </c>
      <c r="G2751" s="4" t="n">
        <v>684</v>
      </c>
      <c r="H2751" s="4" t="n">
        <v>207</v>
      </c>
      <c r="I2751" s="5" t="n">
        <v>352.7</v>
      </c>
      <c r="J2751" s="5" t="n">
        <v>86.2</v>
      </c>
      <c r="K2751" s="3" t="inlineStr">
        <is>
          <t>2차선변 토지</t>
        </is>
      </c>
      <c r="L2751" s="6">
        <f>HYPERLINK("https://fin.land.naver.com/articles/2652270458", "매물Link")</f>
        <v/>
      </c>
      <c r="M2751" s="6">
        <f>HYPERLINK("https://map.naver.com/p/search/장군면 하봉리 37-83", "지도Link")</f>
        <v/>
      </c>
      <c r="N2751" s="6">
        <f>HYPERLINK("http://www.eum.go.kr/web/ar/lu/luLandDet.jsp?pnu=3611035026100370083&amp;isNoScr=script&amp;mode=search", "토지이음")</f>
        <v/>
      </c>
      <c r="O2751" s="3" t="inlineStr">
        <is>
          <t>새땅</t>
        </is>
      </c>
      <c r="P2751" s="4" t="n">
        <v>1</v>
      </c>
      <c r="Q2751" s="4" t="n">
        <v>684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평지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장군면 하봉리 37-89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95000</v>
      </c>
      <c r="G2752" s="4" t="n">
        <v>889</v>
      </c>
      <c r="H2752" s="4" t="n">
        <v>269</v>
      </c>
      <c r="I2752" s="5" t="n">
        <v>353.2</v>
      </c>
      <c r="J2752" s="5" t="n">
        <v>86.7</v>
      </c>
      <c r="K2752" s="3" t="inlineStr">
        <is>
          <t>간선도로변 위치 최고</t>
        </is>
      </c>
      <c r="L2752" s="6">
        <f>HYPERLINK("https://fin.land.naver.com/articles/2652277198", "매물Link")</f>
        <v/>
      </c>
      <c r="M2752" s="6">
        <f>HYPERLINK("https://map.naver.com/p/search/장군면 하봉리 37-89", "지도Link")</f>
        <v/>
      </c>
      <c r="N2752" s="6">
        <f>HYPERLINK("http://www.eum.go.kr/web/ar/lu/luLandDet.jsp?pnu=3611035026100370089&amp;isNoScr=script&amp;mode=search", "토지이음")</f>
        <v/>
      </c>
      <c r="O2752" s="3" t="inlineStr">
        <is>
          <t>새땅</t>
        </is>
      </c>
      <c r="P2752" s="4" t="n">
        <v>1</v>
      </c>
      <c r="Q2752" s="4" t="n">
        <v>889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장군면 하봉리 44-2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62000</v>
      </c>
      <c r="G2753" s="4" t="n">
        <v>2008</v>
      </c>
      <c r="H2753" s="4" t="n">
        <v>607</v>
      </c>
      <c r="I2753" s="5" t="n">
        <v>102.1</v>
      </c>
      <c r="J2753" s="5" t="n">
        <v>44</v>
      </c>
      <c r="K2753" s="3" t="inlineStr">
        <is>
          <t>서세종 톨게이트 근접한 계획관리 토지</t>
        </is>
      </c>
      <c r="L2753" s="6">
        <f>HYPERLINK("https://fin.land.naver.com/articles/2654318308", "매물Link")</f>
        <v/>
      </c>
      <c r="M2753" s="6">
        <f>HYPERLINK("https://map.naver.com/p/search/장군면 하봉리 44-2", "지도Link")</f>
        <v/>
      </c>
      <c r="N2753" s="6">
        <f>HYPERLINK("http://www.eum.go.kr/web/ar/lu/luLandDet.jsp?pnu=3611035026100440002&amp;isNoScr=script&amp;mode=search", "토지이음")</f>
        <v/>
      </c>
      <c r="O2753" s="3" t="inlineStr">
        <is>
          <t>발품</t>
        </is>
      </c>
      <c r="P2753" s="4" t="n">
        <v>1</v>
      </c>
      <c r="Q2753" s="4" t="n">
        <v>1473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장군면 하봉리 478-4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60000</v>
      </c>
      <c r="G2754" s="4" t="n">
        <v>1255</v>
      </c>
      <c r="H2754" s="4" t="n">
        <v>380</v>
      </c>
      <c r="I2754" s="5" t="n">
        <v>157.9</v>
      </c>
      <c r="J2754" s="5" t="n">
        <v>55.8</v>
      </c>
      <c r="K2754" s="3" t="inlineStr">
        <is>
          <t>현재 밭으로 사용중  주목10년생 약 80여 그루, 두릅나무5</t>
        </is>
      </c>
      <c r="L2754" s="6">
        <f>HYPERLINK("https://fin.land.naver.com/articles/2655606785", "매물Link")</f>
        <v/>
      </c>
      <c r="M2754" s="6">
        <f>HYPERLINK("https://map.naver.com/p/search/장군면 하봉리 478-4", "지도Link")</f>
        <v/>
      </c>
      <c r="N2754" s="6">
        <f>HYPERLINK("http://www.eum.go.kr/web/ar/lu/luLandDet.jsp?pnu=3611035026104780004&amp;isNoScr=script&amp;mode=search", "토지이음")</f>
        <v/>
      </c>
      <c r="O2754" s="3" t="inlineStr">
        <is>
          <t>신우</t>
        </is>
      </c>
      <c r="P2754" s="4" t="n">
        <v>1</v>
      </c>
      <c r="Q2754" s="4" t="n">
        <v>1255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세로한면(가)</t>
        </is>
      </c>
    </row>
    <row r="2755">
      <c r="A2755" s="3" t="inlineStr">
        <is>
          <t>장군면 하봉리 479-11</t>
        </is>
      </c>
      <c r="B2755" s="3" t="inlineStr">
        <is>
          <t>농림지역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70700</v>
      </c>
      <c r="G2755" s="4" t="n">
        <v>1946</v>
      </c>
      <c r="H2755" s="4" t="n">
        <v>589</v>
      </c>
      <c r="I2755" s="5" t="n">
        <v>120</v>
      </c>
      <c r="J2755" s="5" t="n">
        <v>33.6</v>
      </c>
      <c r="K2755" s="3" t="inlineStr">
        <is>
          <t>대토 추천, 2차선도로접 좋은 위치</t>
        </is>
      </c>
      <c r="L2755" s="6">
        <f>HYPERLINK("https://fin.land.naver.com/articles/2652039163", "매물Link")</f>
        <v/>
      </c>
      <c r="M2755" s="6">
        <f>HYPERLINK("https://map.naver.com/p/search/장군면 하봉리 479-11", "지도Link")</f>
        <v/>
      </c>
      <c r="N2755" s="6">
        <f>HYPERLINK("http://www.eum.go.kr/web/ar/lu/luLandDet.jsp?pnu=3611035026104790011&amp;isNoScr=script&amp;mode=search", "토지이음")</f>
        <v/>
      </c>
      <c r="O2755" s="3" t="inlineStr">
        <is>
          <t>미스터홈즈강남지사</t>
        </is>
      </c>
      <c r="P2755" s="4" t="n">
        <v>2</v>
      </c>
      <c r="Q2755" s="4" t="n">
        <v>1946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소로한면</t>
        </is>
      </c>
    </row>
    <row r="2756">
      <c r="A2756" s="3" t="inlineStr">
        <is>
          <t>장군면 하봉리 480-4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180000</v>
      </c>
      <c r="G2756" s="4" t="n">
        <v>2988</v>
      </c>
      <c r="H2756" s="4" t="n">
        <v>904</v>
      </c>
      <c r="I2756" s="5" t="n">
        <v>199.1</v>
      </c>
      <c r="J2756" s="5" t="n">
        <v>78.2</v>
      </c>
      <c r="K2756" s="3" t="inlineStr">
        <is>
          <t>계획관리지역의 농지로 포장도로에 접해있어 공장이나 창고부지로 적합한 토지</t>
        </is>
      </c>
      <c r="L2756" s="6">
        <f>HYPERLINK("https://fin.land.naver.com/articles/2651458895", "매물Link")</f>
        <v/>
      </c>
      <c r="M2756" s="6">
        <f>HYPERLINK("https://map.naver.com/p/search/장군면 하봉리 480-4", "지도Link")</f>
        <v/>
      </c>
      <c r="N2756" s="6">
        <f>HYPERLINK("http://www.eum.go.kr/web/ar/lu/luLandDet.jsp?pnu=3611035026104800004&amp;isNoScr=script&amp;mode=search", "토지이음")</f>
        <v/>
      </c>
      <c r="O2756" s="3" t="inlineStr">
        <is>
          <t>스마일세종</t>
        </is>
      </c>
      <c r="P2756" s="4" t="n">
        <v>1</v>
      </c>
      <c r="Q2756" s="4" t="n">
        <v>2988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세로장방</t>
        </is>
      </c>
      <c r="V2756" s="3" t="inlineStr">
        <is>
          <t>세로각지(가)</t>
        </is>
      </c>
    </row>
    <row r="2757">
      <c r="A2757" s="3" t="inlineStr">
        <is>
          <t>장군면 하봉리 481-4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66700</v>
      </c>
      <c r="G2757" s="4" t="n">
        <v>1576</v>
      </c>
      <c r="H2757" s="4" t="n">
        <v>477</v>
      </c>
      <c r="I2757" s="5" t="n">
        <v>139.8</v>
      </c>
      <c r="J2757" s="5" t="n">
        <v>52</v>
      </c>
      <c r="K2757" s="3" t="inlineStr">
        <is>
          <t>메타세쿼이아 숲 조성, 계획관리지역, 서세종IC 차량 약 5분</t>
        </is>
      </c>
      <c r="L2757" s="6">
        <f>HYPERLINK("https://fin.land.naver.com/articles/2654291684", "매물Link")</f>
        <v/>
      </c>
      <c r="M2757" s="6">
        <f>HYPERLINK("https://map.naver.com/p/search/장군면 하봉리 481-4", "지도Link")</f>
        <v/>
      </c>
      <c r="N2757" s="6">
        <f>HYPERLINK("http://www.eum.go.kr/web/ar/lu/luLandDet.jsp?pnu=3611035026104810004&amp;isNoScr=script&amp;mode=search", "토지이음")</f>
        <v/>
      </c>
      <c r="O2757" s="3" t="inlineStr">
        <is>
          <t>세종소담황금</t>
        </is>
      </c>
      <c r="P2757" s="4" t="n">
        <v>1</v>
      </c>
      <c r="Q2757" s="4" t="n">
        <v>1576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세로한면(가)</t>
        </is>
      </c>
    </row>
    <row r="2758">
      <c r="A2758" s="3" t="inlineStr">
        <is>
          <t>장군면 하봉리 481-4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1576</v>
      </c>
      <c r="H2758" s="4" t="n">
        <v>477</v>
      </c>
      <c r="I2758" s="5" t="n">
        <v>140.5</v>
      </c>
      <c r="J2758" s="5" t="n">
        <v>52</v>
      </c>
      <c r="K2758" s="3" t="inlineStr">
        <is>
          <t>2차선 도로접,세종IC 인접, 세종 행복도심과 공주 송선동현지구 중심입</t>
        </is>
      </c>
      <c r="L2758" s="6">
        <f>HYPERLINK("https://fin.land.naver.com/articles/2654927929", "매물Link")</f>
        <v/>
      </c>
      <c r="M2758" s="6">
        <f>HYPERLINK("https://map.naver.com/p/search/장군면 하봉리 481-4", "지도Link")</f>
        <v/>
      </c>
      <c r="N2758" s="6">
        <f>HYPERLINK("http://www.eum.go.kr/web/ar/lu/luLandDet.jsp?pnu=3611035026104810004&amp;isNoScr=script&amp;mode=search", "토지이음")</f>
        <v/>
      </c>
      <c r="O2758" s="3" t="inlineStr">
        <is>
          <t>세종신한</t>
        </is>
      </c>
      <c r="P2758" s="4" t="n">
        <v>10</v>
      </c>
      <c r="Q2758" s="4" t="n">
        <v>1576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세로장방</t>
        </is>
      </c>
      <c r="V2758" s="3" t="inlineStr">
        <is>
          <t>세로한면(가)</t>
        </is>
      </c>
    </row>
    <row r="2759">
      <c r="A2759" s="3" t="inlineStr">
        <is>
          <t>장군면 하봉리 481-4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62000</v>
      </c>
      <c r="G2759" s="4" t="n">
        <v>1576</v>
      </c>
      <c r="H2759" s="4" t="n">
        <v>477</v>
      </c>
      <c r="I2759" s="5" t="n">
        <v>130</v>
      </c>
      <c r="J2759" s="5" t="n">
        <v>52</v>
      </c>
      <c r="K2759" s="3" t="inlineStr">
        <is>
          <t>세종 장군면 하봉리 계획관리 농지 매매</t>
        </is>
      </c>
      <c r="L2759" s="6">
        <f>HYPERLINK("https://fin.land.naver.com/articles/2654258525", "매물Link")</f>
        <v/>
      </c>
      <c r="M2759" s="6">
        <f>HYPERLINK("https://map.naver.com/p/search/장군면 하봉리 481-4", "지도Link")</f>
        <v/>
      </c>
      <c r="N2759" s="6">
        <f>HYPERLINK("http://www.eum.go.kr/web/ar/lu/luLandDet.jsp?pnu=3611035026104810004&amp;isNoScr=script&amp;mode=search", "토지이음")</f>
        <v/>
      </c>
      <c r="O2759" s="3" t="inlineStr">
        <is>
          <t>세종몽땅</t>
        </is>
      </c>
      <c r="P2759" s="4" t="n">
        <v>1</v>
      </c>
      <c r="Q2759" s="4" t="n">
        <v>1576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세로장방</t>
        </is>
      </c>
      <c r="V2759" s="3" t="inlineStr">
        <is>
          <t>세로한면(가)</t>
        </is>
      </c>
    </row>
    <row r="2760">
      <c r="A2760" s="3" t="inlineStr">
        <is>
          <t>장군면 하봉리 481-4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66000</v>
      </c>
      <c r="G2760" s="4" t="n">
        <v>1576</v>
      </c>
      <c r="H2760" s="4" t="n">
        <v>477</v>
      </c>
      <c r="I2760" s="5" t="n">
        <v>138.4</v>
      </c>
      <c r="J2760" s="5" t="n">
        <v>52</v>
      </c>
      <c r="K2760" s="3" t="inlineStr">
        <is>
          <t>농지영농부담 없는곳 주변호재 투자최적</t>
        </is>
      </c>
      <c r="L2760" s="6">
        <f>HYPERLINK("https://fin.land.naver.com/articles/2653904494", "매물Link")</f>
        <v/>
      </c>
      <c r="M2760" s="6">
        <f>HYPERLINK("https://map.naver.com/p/search/장군면 하봉리 481-4", "지도Link")</f>
        <v/>
      </c>
      <c r="N2760" s="6">
        <f>HYPERLINK("http://www.eum.go.kr/web/ar/lu/luLandDet.jsp?pnu=3611035026104810004&amp;isNoScr=script&amp;mode=search", "토지이음")</f>
        <v/>
      </c>
      <c r="O2760" s="3" t="inlineStr">
        <is>
          <t>신두정리치</t>
        </is>
      </c>
      <c r="P2760" s="4" t="n">
        <v>2</v>
      </c>
      <c r="Q2760" s="4" t="n">
        <v>1576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세로장방</t>
        </is>
      </c>
      <c r="V2760" s="3" t="inlineStr">
        <is>
          <t>세로한면(가)</t>
        </is>
      </c>
    </row>
    <row r="2761">
      <c r="A2761" s="3" t="inlineStr">
        <is>
          <t>장군면 하봉리 481-4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66780</v>
      </c>
      <c r="G2761" s="4" t="n">
        <v>1576</v>
      </c>
      <c r="H2761" s="4" t="n">
        <v>477</v>
      </c>
      <c r="I2761" s="5" t="n">
        <v>140</v>
      </c>
      <c r="J2761" s="5" t="n">
        <v>52</v>
      </c>
      <c r="K2761" s="3" t="inlineStr">
        <is>
          <t>서세종IC 인근 도로접한 계획관리지역 성장관리계획구역 알토란 토지</t>
        </is>
      </c>
      <c r="L2761" s="6">
        <f>HYPERLINK("https://fin.land.naver.com/articles/2654370217", "매물Link")</f>
        <v/>
      </c>
      <c r="M2761" s="6">
        <f>HYPERLINK("https://map.naver.com/p/search/장군면 하봉리 481-4", "지도Link")</f>
        <v/>
      </c>
      <c r="N2761" s="6">
        <f>HYPERLINK("http://www.eum.go.kr/web/ar/lu/luLandDet.jsp?pnu=3611035026104810004&amp;isNoScr=script&amp;mode=search", "토지이음")</f>
        <v/>
      </c>
      <c r="O2761" s="3" t="inlineStr">
        <is>
          <t>고운맘</t>
        </is>
      </c>
      <c r="P2761" s="4" t="n">
        <v>1</v>
      </c>
      <c r="Q2761" s="4" t="n">
        <v>1576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세로장방</t>
        </is>
      </c>
      <c r="V2761" s="3" t="inlineStr">
        <is>
          <t>세로한면(가)</t>
        </is>
      </c>
    </row>
    <row r="2762">
      <c r="A2762" s="3" t="inlineStr">
        <is>
          <t>장군면 하봉리 481-5</t>
        </is>
      </c>
      <c r="B2762" s="3" t="inlineStr">
        <is>
          <t>계획관리지역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86000</v>
      </c>
      <c r="G2762" s="4" t="n">
        <v>1667</v>
      </c>
      <c r="H2762" s="4" t="n">
        <v>504</v>
      </c>
      <c r="I2762" s="5" t="n">
        <v>170.6</v>
      </c>
      <c r="J2762" s="5" t="n">
        <v>52</v>
      </c>
      <c r="K2762" s="3" t="inlineStr">
        <is>
          <t>대토용으로 적극추천, 투자용으로도 좋습니다.</t>
        </is>
      </c>
      <c r="L2762" s="6">
        <f>HYPERLINK("https://fin.land.naver.com/articles/2656520936", "매물Link")</f>
        <v/>
      </c>
      <c r="M2762" s="6">
        <f>HYPERLINK("https://map.naver.com/p/search/장군면 하봉리 481-5", "지도Link")</f>
        <v/>
      </c>
      <c r="N2762" s="6">
        <f>HYPERLINK("http://www.eum.go.kr/web/ar/lu/luLandDet.jsp?pnu=3611035026104810005&amp;isNoScr=script&amp;mode=search", "토지이음")</f>
        <v/>
      </c>
      <c r="O2762" s="3" t="inlineStr">
        <is>
          <t>이담</t>
        </is>
      </c>
      <c r="P2762" s="4" t="n">
        <v>1</v>
      </c>
      <c r="Q2762" s="4" t="n">
        <v>1667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세로장방</t>
        </is>
      </c>
      <c r="V2762" s="3" t="inlineStr">
        <is>
          <t>세로한면(가)</t>
        </is>
      </c>
    </row>
    <row r="2763">
      <c r="A2763" s="3" t="inlineStr">
        <is>
          <t>장군면 하봉리 51-44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31000</v>
      </c>
      <c r="G2763" s="4" t="n">
        <v>447</v>
      </c>
      <c r="H2763" s="4" t="n">
        <v>135</v>
      </c>
      <c r="I2763" s="5" t="n">
        <v>229.6</v>
      </c>
      <c r="J2763" s="5" t="n">
        <v>225.3</v>
      </c>
      <c r="K2763" s="3" t="inlineStr">
        <is>
          <t>nan</t>
        </is>
      </c>
      <c r="L2763" s="6">
        <f>HYPERLINK("https://fin.land.naver.com/articles/2655695357", "매물Link")</f>
        <v/>
      </c>
      <c r="M2763" s="6">
        <f>HYPERLINK("https://map.naver.com/p/search/장군면 하봉리 51-44", "지도Link")</f>
        <v/>
      </c>
      <c r="N2763" s="6">
        <f>HYPERLINK("http://www.eum.go.kr/web/ar/lu/luLandDet.jsp?pnu=3611035026100510044&amp;isNoScr=script&amp;mode=search", "토지이음")</f>
        <v/>
      </c>
      <c r="O2763" s="3" t="inlineStr">
        <is>
          <t>다정현대</t>
        </is>
      </c>
      <c r="P2763" s="4" t="n">
        <v>1</v>
      </c>
      <c r="Q2763" s="4" t="n">
        <v>392</v>
      </c>
      <c r="R2763" s="3" t="inlineStr">
        <is>
          <t>지정되지않음</t>
        </is>
      </c>
      <c r="S2763" s="3" t="inlineStr">
        <is>
          <t>주거나지</t>
        </is>
      </c>
      <c r="T2763" s="3" t="inlineStr">
        <is>
          <t>평지</t>
        </is>
      </c>
      <c r="U2763" s="3" t="inlineStr">
        <is>
          <t>사다리형</t>
        </is>
      </c>
      <c r="V2763" s="3" t="inlineStr">
        <is>
          <t>세로한면(가)</t>
        </is>
      </c>
    </row>
    <row r="2764">
      <c r="A2764" s="3" t="inlineStr">
        <is>
          <t>장군면 하봉리 51-46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13000</v>
      </c>
      <c r="G2764" s="4" t="n">
        <v>132</v>
      </c>
      <c r="H2764" s="4" t="n">
        <v>40</v>
      </c>
      <c r="I2764" s="5" t="n">
        <v>325</v>
      </c>
      <c r="J2764" s="5" t="n">
        <v>225.3</v>
      </c>
      <c r="K2764" s="3" t="inlineStr">
        <is>
          <t>nan</t>
        </is>
      </c>
      <c r="L2764" s="6">
        <f>HYPERLINK("https://fin.land.naver.com/articles/2652853853", "매물Link")</f>
        <v/>
      </c>
      <c r="M2764" s="6">
        <f>HYPERLINK("https://map.naver.com/p/search/장군면 하봉리 51-46", "지도Link")</f>
        <v/>
      </c>
      <c r="N2764" s="6">
        <f>HYPERLINK("http://www.eum.go.kr/web/ar/lu/luLandDet.jsp?pnu=3611035026100510046&amp;isNoScr=script&amp;mode=search",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465</v>
      </c>
      <c r="R2764" s="3" t="inlineStr">
        <is>
          <t>지정되지않음</t>
        </is>
      </c>
      <c r="S2764" s="3" t="inlineStr">
        <is>
          <t>주거나지</t>
        </is>
      </c>
      <c r="T2764" s="3" t="inlineStr">
        <is>
          <t>평지</t>
        </is>
      </c>
      <c r="U2764" s="3" t="inlineStr">
        <is>
          <t>사다리형</t>
        </is>
      </c>
      <c r="V2764" s="3" t="inlineStr">
        <is>
          <t>세로한면(가)</t>
        </is>
      </c>
    </row>
    <row r="2765">
      <c r="A2765" s="3" t="inlineStr">
        <is>
          <t>장군면 하봉리 538-1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대</t>
        </is>
      </c>
      <c r="E2765" s="3" t="inlineStr">
        <is>
          <t>매매</t>
        </is>
      </c>
      <c r="F2765" s="4" t="n">
        <v>123450</v>
      </c>
      <c r="G2765" s="4" t="n">
        <v>2720</v>
      </c>
      <c r="H2765" s="4" t="n">
        <v>823</v>
      </c>
      <c r="I2765" s="5" t="n">
        <v>150</v>
      </c>
      <c r="J2765" s="5" t="n">
        <v>37.4</v>
      </c>
      <c r="K2765" s="3" t="inlineStr">
        <is>
          <t>계획관리이며 송선동개발지역 근접거리</t>
        </is>
      </c>
      <c r="L2765" s="6">
        <f>HYPERLINK("https://fin.land.naver.com/articles/2653147645", "매물Link")</f>
        <v/>
      </c>
      <c r="M2765" s="6">
        <f>HYPERLINK("https://map.naver.com/p/search/장군면 하봉리 538-1", "지도Link")</f>
        <v/>
      </c>
      <c r="N2765" s="6">
        <f>HYPERLINK("http://www.eum.go.kr/web/ar/lu/luLandDet.jsp?pnu=3611035026105380001&amp;isNoScr=script&amp;mode=search", "토지이음")</f>
        <v/>
      </c>
      <c r="O2765" s="3" t="inlineStr">
        <is>
          <t>윤앤강</t>
        </is>
      </c>
      <c r="P2765" s="4" t="n">
        <v>1</v>
      </c>
      <c r="Q2765" s="4" t="n">
        <v>2720.7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장군면 하봉리 59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90000</v>
      </c>
      <c r="G2766" s="4" t="n">
        <v>1466</v>
      </c>
      <c r="H2766" s="4" t="n">
        <v>443</v>
      </c>
      <c r="I2766" s="5" t="n">
        <v>203.2</v>
      </c>
      <c r="J2766" s="5" t="n">
        <v>80</v>
      </c>
      <c r="K2766" s="3" t="inlineStr">
        <is>
          <t>nan</t>
        </is>
      </c>
      <c r="L2766" s="6">
        <f>HYPERLINK("https://fin.land.naver.com/articles/2651391140", "매물Link")</f>
        <v/>
      </c>
      <c r="M2766" s="6">
        <f>HYPERLINK("https://map.naver.com/p/search/장군면 하봉리 59", "지도Link")</f>
        <v/>
      </c>
      <c r="N2766" s="6">
        <f>HYPERLINK("http://www.eum.go.kr/web/ar/lu/luLandDet.jsp?pnu=3611035026100590000&amp;isNoScr=script&amp;mode=search", "토지이음")</f>
        <v/>
      </c>
      <c r="O2766" s="3" t="inlineStr">
        <is>
          <t>신우</t>
        </is>
      </c>
      <c r="P2766" s="4" t="n">
        <v>1</v>
      </c>
      <c r="Q2766" s="4" t="n">
        <v>1466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평지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장군면 하봉리 63-2</t>
        </is>
      </c>
      <c r="B2767" s="3" t="inlineStr">
        <is>
          <t>계획관리지역</t>
        </is>
      </c>
      <c r="C2767" s="3" t="inlineStr">
        <is>
          <t>대</t>
        </is>
      </c>
      <c r="D2767" s="3" t="inlineStr">
        <is>
          <t>대</t>
        </is>
      </c>
      <c r="E2767" s="3" t="inlineStr">
        <is>
          <t>매매</t>
        </is>
      </c>
      <c r="F2767" s="4" t="n">
        <v>57000</v>
      </c>
      <c r="G2767" s="4" t="n">
        <v>826</v>
      </c>
      <c r="H2767" s="4" t="n">
        <v>250</v>
      </c>
      <c r="I2767" s="5" t="n">
        <v>228</v>
      </c>
      <c r="J2767" s="5" t="n">
        <v>107.6</v>
      </c>
      <c r="K2767" s="3" t="inlineStr">
        <is>
          <t>계획관리지역 공주시 송선.동현지구 도시개발사업 영향,투자용 추천</t>
        </is>
      </c>
      <c r="L2767" s="6">
        <f>HYPERLINK("https://fin.land.naver.com/articles/2652754150", "매물Link")</f>
        <v/>
      </c>
      <c r="M2767" s="6">
        <f>HYPERLINK("https://map.naver.com/p/search/장군면 하봉리 63-2", "지도Link")</f>
        <v/>
      </c>
      <c r="N2767" s="6">
        <f>HYPERLINK("http://www.eum.go.kr/web/ar/lu/luLandDet.jsp?pnu=3611035026100630002&amp;isNoScr=script&amp;mode=search", "토지이음")</f>
        <v/>
      </c>
      <c r="O2767" s="3" t="inlineStr">
        <is>
          <t>고운맘</t>
        </is>
      </c>
      <c r="P2767" s="4" t="n">
        <v>1</v>
      </c>
      <c r="Q2767" s="4" t="n">
        <v>405</v>
      </c>
      <c r="R2767" s="3" t="inlineStr">
        <is>
          <t>지정되지않음</t>
        </is>
      </c>
      <c r="S2767" s="3" t="inlineStr">
        <is>
          <t>단독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장군면 하봉리 88</t>
        </is>
      </c>
      <c r="B2768" s="3" t="inlineStr">
        <is>
          <t>계획관리지역</t>
        </is>
      </c>
      <c r="C2768" s="3" t="inlineStr">
        <is>
          <t>답</t>
        </is>
      </c>
      <c r="D2768" s="3" t="inlineStr">
        <is>
          <t>전</t>
        </is>
      </c>
      <c r="E2768" s="3" t="inlineStr">
        <is>
          <t>매매</t>
        </is>
      </c>
      <c r="F2768" s="4" t="n">
        <v>143400</v>
      </c>
      <c r="G2768" s="4" t="n">
        <v>1582</v>
      </c>
      <c r="H2768" s="4" t="n">
        <v>479</v>
      </c>
      <c r="I2768" s="5" t="n">
        <v>299.4</v>
      </c>
      <c r="J2768" s="5" t="n">
        <v>67.59999999999999</v>
      </c>
      <c r="K2768" s="3" t="inlineStr">
        <is>
          <t>서세종IC 인근 세종 장군면 교통광장 접한 성장관리계획 토지</t>
        </is>
      </c>
      <c r="L2768" s="6">
        <f>HYPERLINK("https://fin.land.naver.com/articles/2656376226", "매물Link")</f>
        <v/>
      </c>
      <c r="M2768" s="6">
        <f>HYPERLINK("https://map.naver.com/p/search/장군면 하봉리 88", "지도Link")</f>
        <v/>
      </c>
      <c r="N2768" s="6">
        <f>HYPERLINK("http://www.eum.go.kr/web/ar/lu/luLandDet.jsp?pnu=3611035026100880000&amp;isNoScr=script&amp;mode=search", "토지이음")</f>
        <v/>
      </c>
      <c r="O2768" s="3" t="inlineStr">
        <is>
          <t>대성오투그란데</t>
        </is>
      </c>
      <c r="P2768" s="4" t="n">
        <v>1</v>
      </c>
      <c r="Q2768" s="4" t="n">
        <v>1410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장군면 하봉리 90-10</t>
        </is>
      </c>
      <c r="B2769" s="3" t="inlineStr">
        <is>
          <t>계획관리지역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220000</v>
      </c>
      <c r="G2769" s="4" t="n">
        <v>5185</v>
      </c>
      <c r="H2769" s="4" t="n">
        <v>1568</v>
      </c>
      <c r="I2769" s="5" t="n">
        <v>140.3</v>
      </c>
      <c r="J2769" s="5" t="n">
        <v>25.5</v>
      </c>
      <c r="K2769" s="3" t="inlineStr">
        <is>
          <t>전원주택부지 , 창고부지 , 도로접 ,투자용으로 좋음</t>
        </is>
      </c>
      <c r="L2769" s="6">
        <f>HYPERLINK("https://fin.land.naver.com/articles/2653795977", "매물Link")</f>
        <v/>
      </c>
      <c r="M2769" s="6">
        <f>HYPERLINK("https://map.naver.com/p/search/장군면 하봉리 90-10", "지도Link")</f>
        <v/>
      </c>
      <c r="N2769" s="6">
        <f>HYPERLINK("http://www.eum.go.kr/web/ar/lu/luLandDet.jsp?pnu=3611035026100900010&amp;isNoScr=script&amp;mode=search", "토지이음")</f>
        <v/>
      </c>
      <c r="O2769" s="3" t="inlineStr">
        <is>
          <t>세종이룸</t>
        </is>
      </c>
      <c r="P2769" s="4" t="n">
        <v>2</v>
      </c>
      <c r="Q2769" s="4" t="n">
        <v>2797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세로각지(가)</t>
        </is>
      </c>
    </row>
    <row r="2770">
      <c r="A2770" s="3" t="inlineStr">
        <is>
          <t>장군면 하봉리 산12-76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350000</v>
      </c>
      <c r="G2770" s="4" t="n">
        <v>17324</v>
      </c>
      <c r="H2770" s="4" t="n">
        <v>5241</v>
      </c>
      <c r="I2770" s="5" t="n">
        <v>66.8</v>
      </c>
      <c r="J2770" s="5" t="n">
        <v>21.2</v>
      </c>
      <c r="K2770" s="3" t="inlineStr">
        <is>
          <t>전망 좋은 위치 도로 개설 완료 전기.수도 인입 수월한 대형 토지</t>
        </is>
      </c>
      <c r="L2770" s="6">
        <f>HYPERLINK("https://fin.land.naver.com/articles/2654678640", "매물Link")</f>
        <v/>
      </c>
      <c r="M2770" s="6">
        <f>HYPERLINK("https://map.naver.com/p/search/장군면 하봉리 산12-76", "지도Link")</f>
        <v/>
      </c>
      <c r="N2770" s="6">
        <f>HYPERLINK("http://www.eum.go.kr/web/ar/lu/luLandDet.jsp?pnu=3611035026200120076&amp;isNoScr=script&amp;mode=search", "토지이음")</f>
        <v/>
      </c>
      <c r="O2770" s="3" t="inlineStr">
        <is>
          <t>세종공주원탑</t>
        </is>
      </c>
      <c r="P2770" s="4" t="n">
        <v>1</v>
      </c>
      <c r="Q2770" s="4" t="n">
        <v>14057</v>
      </c>
      <c r="R2770" s="3" t="inlineStr">
        <is>
          <t>지정되지않음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장군면 하봉리 산4-25</t>
        </is>
      </c>
      <c r="B2771" s="3" t="inlineStr">
        <is>
          <t>보전관리지역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100000</v>
      </c>
      <c r="G2771" s="4" t="n">
        <v>5487</v>
      </c>
      <c r="H2771" s="4" t="n">
        <v>1660</v>
      </c>
      <c r="I2771" s="5" t="n">
        <v>60.2</v>
      </c>
      <c r="J2771" s="5" t="n">
        <v>17.5</v>
      </c>
      <c r="K2771" s="3" t="inlineStr">
        <is>
          <t>고속도로 인근에 있어 광고판 등으로 활용하면 좋은 경사도 완만한 임야</t>
        </is>
      </c>
      <c r="L2771" s="6">
        <f>HYPERLINK("https://fin.land.naver.com/articles/2651469622", "매물Link")</f>
        <v/>
      </c>
      <c r="M2771" s="6">
        <f>HYPERLINK("https://map.naver.com/p/search/장군면 하봉리 산4-25", "지도Link")</f>
        <v/>
      </c>
      <c r="N2771" s="6">
        <f>HYPERLINK("http://www.eum.go.kr/web/ar/lu/luLandDet.jsp?pnu=3611035026200040025&amp;isNoScr=script&amp;mode=search", "토지이음")</f>
        <v/>
      </c>
      <c r="O2771" s="3" t="inlineStr">
        <is>
          <t>스마일세종</t>
        </is>
      </c>
      <c r="P2771" s="4" t="n">
        <v>1</v>
      </c>
      <c r="Q2771" s="4" t="n">
        <v>5487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장군면 하봉리 산4-50</t>
        </is>
      </c>
      <c r="B2772" s="3" t="inlineStr">
        <is>
          <t>보전관리지역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120000</v>
      </c>
      <c r="G2772" s="4" t="n">
        <v>330</v>
      </c>
      <c r="H2772" s="4" t="n">
        <v>100</v>
      </c>
      <c r="I2772" s="5" t="n">
        <v>1200</v>
      </c>
      <c r="J2772" s="5" t="n">
        <v>26.8</v>
      </c>
      <c r="K2772" s="3" t="inlineStr">
        <is>
          <t>주변에 택지조성을 잘 해놧어요.카페도 현재 영업중</t>
        </is>
      </c>
      <c r="L2772" s="6">
        <f>HYPERLINK("https://fin.land.naver.com/articles/2651218820", "매물Link")</f>
        <v/>
      </c>
      <c r="M2772" s="6">
        <f>HYPERLINK("https://map.naver.com/p/search/장군면 하봉리 산4-50", "지도Link")</f>
        <v/>
      </c>
      <c r="N2772" s="6">
        <f>HYPERLINK("http://www.eum.go.kr/web/ar/lu/luLandDet.jsp?pnu=3611035026200040050&amp;isNoScr=script&amp;mode=search", "토지이음")</f>
        <v/>
      </c>
      <c r="O2772" s="3" t="inlineStr">
        <is>
          <t>보람뜰</t>
        </is>
      </c>
      <c r="P2772" s="4" t="n">
        <v>1</v>
      </c>
      <c r="Q2772" s="4" t="n">
        <v>3306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노장리 219-13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75000</v>
      </c>
      <c r="G2773" s="4" t="n">
        <v>6882</v>
      </c>
      <c r="H2773" s="4" t="n">
        <v>2082</v>
      </c>
      <c r="I2773" s="5" t="n">
        <v>36</v>
      </c>
      <c r="J2773" s="5" t="n">
        <v>11.4</v>
      </c>
      <c r="K2773" s="3" t="inlineStr">
        <is>
          <t>세종 노장리 계획관리지역 저렴한 농지 급매</t>
        </is>
      </c>
      <c r="L2773" s="6">
        <f>HYPERLINK("https://fin.land.naver.com/articles/2656567642", "매물Link")</f>
        <v/>
      </c>
      <c r="M2773" s="6">
        <f>HYPERLINK("https://map.naver.com/p/search/전동면 노장리 219-13", "지도Link")</f>
        <v/>
      </c>
      <c r="N2773" s="6">
        <f>HYPERLINK("http://www.eum.go.kr/web/ar/lu/luLandDet.jsp?pnu=3611038021102190013&amp;isNoScr=script&amp;mode=search", "토지이음")</f>
        <v/>
      </c>
      <c r="O2773" s="3" t="inlineStr">
        <is>
          <t>한별</t>
        </is>
      </c>
      <c r="P2773" s="4" t="n">
        <v>1</v>
      </c>
      <c r="Q2773" s="4" t="n">
        <v>4403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급경사</t>
        </is>
      </c>
      <c r="U2773" s="3" t="inlineStr">
        <is>
          <t>부정형</t>
        </is>
      </c>
      <c r="V2773" s="3" t="inlineStr">
        <is>
          <t>세로한면(불)</t>
        </is>
      </c>
    </row>
    <row r="2774">
      <c r="A2774" s="3" t="inlineStr">
        <is>
          <t>전동면 노장리 235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29000</v>
      </c>
      <c r="G2774" s="4" t="n">
        <v>1213</v>
      </c>
      <c r="H2774" s="4" t="n">
        <v>367</v>
      </c>
      <c r="I2774" s="5" t="n">
        <v>79</v>
      </c>
      <c r="J2774" s="5" t="n">
        <v>18.2</v>
      </c>
      <c r="K2774" s="3" t="inlineStr">
        <is>
          <t>물멍할 수 있는 토지로 전망좋은 전원주택지,펜션,공방부지로 추천</t>
        </is>
      </c>
      <c r="L2774" s="6">
        <f>HYPERLINK("https://fin.land.naver.com/articles/2655744409", "매물Link")</f>
        <v/>
      </c>
      <c r="M2774" s="6">
        <f>HYPERLINK("https://map.naver.com/p/search/전동면 노장리 235", "지도Link")</f>
        <v/>
      </c>
      <c r="N2774" s="6">
        <f>HYPERLINK("http://www.eum.go.kr/web/ar/lu/luLandDet.jsp?pnu=3611038021102350000&amp;isNoScr=script&amp;mode=search", "토지이음")</f>
        <v/>
      </c>
      <c r="O2774" s="3" t="inlineStr">
        <is>
          <t>신안무소</t>
        </is>
      </c>
      <c r="P2774" s="4" t="n">
        <v>1</v>
      </c>
      <c r="Q2774" s="4" t="n">
        <v>1213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노장리 241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79000</v>
      </c>
      <c r="G2775" s="4" t="n">
        <v>5808</v>
      </c>
      <c r="H2775" s="4" t="n">
        <v>1757</v>
      </c>
      <c r="I2775" s="5" t="n">
        <v>45</v>
      </c>
      <c r="J2775" s="5" t="n">
        <v>12</v>
      </c>
      <c r="K2775" s="3" t="inlineStr">
        <is>
          <t>노장리 상노장저수지인근 농지매매</t>
        </is>
      </c>
      <c r="L2775" s="6">
        <f>HYPERLINK("https://fin.land.naver.com/articles/2655536909", "매물Link")</f>
        <v/>
      </c>
      <c r="M2775" s="6">
        <f>HYPERLINK("https://map.naver.com/p/search/전동면 노장리 241", "지도Link")</f>
        <v/>
      </c>
      <c r="N2775" s="6">
        <f>HYPERLINK("http://www.eum.go.kr/web/ar/lu/luLandDet.jsp?pnu=3611038021102410000&amp;isNoScr=script&amp;mode=search", "토지이음")</f>
        <v/>
      </c>
      <c r="O2775" s="3" t="inlineStr">
        <is>
          <t>에이스</t>
        </is>
      </c>
      <c r="P2775" s="4" t="n">
        <v>1</v>
      </c>
      <c r="Q2775" s="4" t="n">
        <v>5279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노장리 336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35000</v>
      </c>
      <c r="G2776" s="4" t="n">
        <v>734</v>
      </c>
      <c r="H2776" s="4" t="n">
        <v>222</v>
      </c>
      <c r="I2776" s="5" t="n">
        <v>157.7</v>
      </c>
      <c r="J2776" s="5" t="n">
        <v>23.6</v>
      </c>
      <c r="K2776" s="3" t="inlineStr">
        <is>
          <t>전동면 노장산업단지 계획관리 토지매매</t>
        </is>
      </c>
      <c r="L2776" s="6">
        <f>HYPERLINK("https://fin.land.naver.com/articles/2654586737", "매물Link")</f>
        <v/>
      </c>
      <c r="M2776" s="6">
        <f>HYPERLINK("https://map.naver.com/p/search/전동면 노장리 336", "지도Link")</f>
        <v/>
      </c>
      <c r="N2776" s="6">
        <f>HYPERLINK("http://www.eum.go.kr/web/ar/lu/luLandDet.jsp?pnu=3611038021103360000&amp;isNoScr=script&amp;mode=search", "토지이음")</f>
        <v/>
      </c>
      <c r="O2776" s="3" t="inlineStr">
        <is>
          <t>스타트</t>
        </is>
      </c>
      <c r="P2776" s="4" t="n">
        <v>1</v>
      </c>
      <c r="Q2776" s="4" t="n">
        <v>734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노장리 364</t>
        </is>
      </c>
      <c r="B2777" s="3" t="inlineStr">
        <is>
          <t>계획관리지역</t>
        </is>
      </c>
      <c r="C2777" s="3" t="inlineStr">
        <is>
          <t>잡종지</t>
        </is>
      </c>
      <c r="D2777" s="3" t="inlineStr">
        <is>
          <t>잡종지</t>
        </is>
      </c>
      <c r="E2777" s="3" t="inlineStr">
        <is>
          <t>매매</t>
        </is>
      </c>
      <c r="F2777" s="4" t="n">
        <v>1510000</v>
      </c>
      <c r="G2777" s="4" t="n">
        <v>8152</v>
      </c>
      <c r="H2777" s="4" t="n">
        <v>2466</v>
      </c>
      <c r="I2777" s="5" t="n">
        <v>612.3</v>
      </c>
      <c r="J2777" s="5" t="n">
        <v>130.5</v>
      </c>
      <c r="K2777" s="3" t="inlineStr">
        <is>
          <t>세종시 북부지역 교통요충지 입지한 토지로 현재 운전학원 운영중</t>
        </is>
      </c>
      <c r="L2777" s="6">
        <f>HYPERLINK("https://fin.land.naver.com/articles/2652042584", "매물Link")</f>
        <v/>
      </c>
      <c r="M2777" s="6">
        <f>HYPERLINK("https://map.naver.com/p/search/전동면 노장리 364", "지도Link")</f>
        <v/>
      </c>
      <c r="N2777" s="6">
        <f>HYPERLINK("http://www.eum.go.kr/web/ar/lu/luLandDet.jsp?pnu=3611038021103640000&amp;isNoScr=script&amp;mode=search",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6562</v>
      </c>
      <c r="R2777" s="3" t="inlineStr">
        <is>
          <t>지정되지않음</t>
        </is>
      </c>
      <c r="S2777" s="3" t="inlineStr">
        <is>
          <t>상업용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소로한면</t>
        </is>
      </c>
    </row>
    <row r="2778">
      <c r="A2778" s="3" t="inlineStr">
        <is>
          <t>전동면 노장리 366-1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59400</v>
      </c>
      <c r="G2778" s="4" t="n">
        <v>1964</v>
      </c>
      <c r="H2778" s="4" t="n">
        <v>594</v>
      </c>
      <c r="I2778" s="5" t="n">
        <v>100</v>
      </c>
      <c r="J2778" s="5" t="n">
        <v>59.9</v>
      </c>
      <c r="K2778" s="3" t="inlineStr">
        <is>
          <t>계획관리지역 답으로 투자가치 좋아요.</t>
        </is>
      </c>
      <c r="L2778" s="6">
        <f>HYPERLINK("https://fin.land.naver.com/articles/2653609053", "매물Link")</f>
        <v/>
      </c>
      <c r="M2778" s="6">
        <f>HYPERLINK("https://map.naver.com/p/search/전동면 노장리 366-1", "지도Link")</f>
        <v/>
      </c>
      <c r="N2778" s="6">
        <f>HYPERLINK("http://www.eum.go.kr/web/ar/lu/luLandDet.jsp?pnu=3611038021103660001&amp;isNoScr=script&amp;mode=search", "토지이음")</f>
        <v/>
      </c>
      <c r="O2778" s="3" t="inlineStr">
        <is>
          <t>마마</t>
        </is>
      </c>
      <c r="P2778" s="4" t="n">
        <v>1</v>
      </c>
      <c r="Q2778" s="4" t="n">
        <v>1964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노장리 382-1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43400</v>
      </c>
      <c r="G2779" s="4" t="n">
        <v>1795</v>
      </c>
      <c r="H2779" s="4" t="n">
        <v>543</v>
      </c>
      <c r="I2779" s="5" t="n">
        <v>79.90000000000001</v>
      </c>
      <c r="J2779" s="5" t="n">
        <v>28</v>
      </c>
      <c r="K2779" s="3" t="inlineStr">
        <is>
          <t>nan</t>
        </is>
      </c>
      <c r="L2779" s="6">
        <f>HYPERLINK("https://fin.land.naver.com/articles/2654164563", "매물Link")</f>
        <v/>
      </c>
      <c r="M2779" s="6">
        <f>HYPERLINK("https://map.naver.com/p/search/전동면 노장리 382-1", "지도Link")</f>
        <v/>
      </c>
      <c r="N2779" s="6">
        <f>HYPERLINK("http://www.eum.go.kr/web/ar/lu/luLandDet.jsp?pnu=3611038021103820001&amp;isNoScr=script&amp;mode=search", "토지이음")</f>
        <v/>
      </c>
      <c r="O2779" s="3" t="inlineStr">
        <is>
          <t>마마</t>
        </is>
      </c>
      <c r="P2779" s="4" t="n">
        <v>1</v>
      </c>
      <c r="Q2779" s="4" t="n">
        <v>1795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노장리 471-1</t>
        </is>
      </c>
      <c r="B2780" s="3" t="inlineStr">
        <is>
          <t>보전관리지역</t>
        </is>
      </c>
      <c r="C2780" s="3" t="inlineStr">
        <is>
          <t>제방</t>
        </is>
      </c>
      <c r="D2780" s="3" t="inlineStr">
        <is>
          <t>답</t>
        </is>
      </c>
      <c r="E2780" s="3" t="inlineStr">
        <is>
          <t>매매</t>
        </is>
      </c>
      <c r="F2780" s="4" t="n">
        <v>37750</v>
      </c>
      <c r="G2780" s="4" t="n">
        <v>500</v>
      </c>
      <c r="H2780" s="4" t="n">
        <v>151</v>
      </c>
      <c r="I2780" s="5" t="n">
        <v>250</v>
      </c>
      <c r="J2780" s="5" t="n">
        <v>18</v>
      </c>
      <c r="K2780" s="3" t="inlineStr">
        <is>
          <t>전동일반산업단지 바로 옆 2차선 대로변</t>
        </is>
      </c>
      <c r="L2780" s="6">
        <f>HYPERLINK("https://fin.land.naver.com/articles/2652110670", "매물Link")</f>
        <v/>
      </c>
      <c r="M2780" s="6">
        <f>HYPERLINK("https://map.naver.com/p/search/전동면 노장리 471-1", "지도Link")</f>
        <v/>
      </c>
      <c r="N2780" s="6">
        <f>HYPERLINK("http://www.eum.go.kr/web/ar/lu/luLandDet.jsp?pnu=3611038021104710001&amp;isNoScr=script&amp;mode=search", "토지이음")</f>
        <v/>
      </c>
      <c r="O2780" s="3" t="inlineStr">
        <is>
          <t>자이</t>
        </is>
      </c>
      <c r="P2780" s="4" t="n">
        <v>1</v>
      </c>
      <c r="Q2780" s="4" t="n">
        <v>500</v>
      </c>
      <c r="R2780" s="3" t="inlineStr">
        <is>
          <t>지정되지않음</t>
        </is>
      </c>
      <c r="S2780" s="3" t="inlineStr">
        <is>
          <t>하천등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지정되지않음</t>
        </is>
      </c>
    </row>
    <row r="2781">
      <c r="A2781" s="3" t="inlineStr">
        <is>
          <t>전동면 노장리 471-4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189000</v>
      </c>
      <c r="G2781" s="4" t="n">
        <v>2500</v>
      </c>
      <c r="H2781" s="4" t="n">
        <v>756</v>
      </c>
      <c r="I2781" s="5" t="n">
        <v>250</v>
      </c>
      <c r="J2781" s="5" t="n">
        <v>44.3</v>
      </c>
      <c r="K2781" s="3" t="inlineStr">
        <is>
          <t>전동일반산업단지 바로 옆 2차선 대로변</t>
        </is>
      </c>
      <c r="L2781" s="6">
        <f>HYPERLINK("https://fin.land.naver.com/articles/2652110210", "매물Link")</f>
        <v/>
      </c>
      <c r="M2781" s="6">
        <f>HYPERLINK("https://map.naver.com/p/search/전동면 노장리 471-4", "지도Link")</f>
        <v/>
      </c>
      <c r="N2781" s="6">
        <f>HYPERLINK("http://www.eum.go.kr/web/ar/lu/luLandDet.jsp?pnu=3611038021104710004&amp;isNoScr=script&amp;mode=search", "토지이음")</f>
        <v/>
      </c>
      <c r="O2781" s="3" t="inlineStr">
        <is>
          <t>자이</t>
        </is>
      </c>
      <c r="P2781" s="4" t="n">
        <v>1</v>
      </c>
      <c r="Q2781" s="4" t="n">
        <v>2500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노장리 474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300000</v>
      </c>
      <c r="G2782" s="4" t="n">
        <v>7560</v>
      </c>
      <c r="H2782" s="4" t="n">
        <v>2287</v>
      </c>
      <c r="I2782" s="5" t="n">
        <v>131.2</v>
      </c>
      <c r="J2782" s="5" t="n">
        <v>30.4</v>
      </c>
      <c r="K2782" s="3" t="inlineStr">
        <is>
          <t>전동면 노장리 계획관리지역으로 공장,창고하기 적합한 토지임</t>
        </is>
      </c>
      <c r="L2782" s="6">
        <f>HYPERLINK("https://fin.land.naver.com/articles/2651708302", "매물Link")</f>
        <v/>
      </c>
      <c r="M2782" s="6">
        <f>HYPERLINK("https://map.naver.com/p/search/전동면 노장리 474", "지도Link")</f>
        <v/>
      </c>
      <c r="N2782" s="6">
        <f>HYPERLINK("http://www.eum.go.kr/web/ar/lu/luLandDet.jsp?pnu=3611038021104740000&amp;isNoScr=script&amp;mode=search",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5448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노장리 512</t>
        </is>
      </c>
      <c r="B2783" s="3" t="inlineStr">
        <is>
          <t>계획관리지역</t>
        </is>
      </c>
      <c r="C2783" s="3" t="inlineStr">
        <is>
          <t>대</t>
        </is>
      </c>
      <c r="D2783" s="3" t="inlineStr">
        <is>
          <t>대</t>
        </is>
      </c>
      <c r="E2783" s="3" t="inlineStr">
        <is>
          <t>매매</t>
        </is>
      </c>
      <c r="F2783" s="4" t="n">
        <v>150000</v>
      </c>
      <c r="G2783" s="4" t="n">
        <v>3404</v>
      </c>
      <c r="H2783" s="4" t="n">
        <v>1030</v>
      </c>
      <c r="I2783" s="5" t="n">
        <v>145.6</v>
      </c>
      <c r="J2783" s="5" t="n">
        <v>73</v>
      </c>
      <c r="K2783" s="3" t="inlineStr">
        <is>
          <t>전동면 2차선 도로변에 접한 계획관리지역 토지 매매</t>
        </is>
      </c>
      <c r="L2783" s="6">
        <f>HYPERLINK("https://fin.land.naver.com/articles/2653390861", "매물Link")</f>
        <v/>
      </c>
      <c r="M2783" s="6">
        <f>HYPERLINK("https://map.naver.com/p/search/전동면 노장리 512", "지도Link")</f>
        <v/>
      </c>
      <c r="N2783" s="6">
        <f>HYPERLINK("http://www.eum.go.kr/web/ar/lu/luLandDet.jsp?pnu=3611038021105120000&amp;isNoScr=script&amp;mode=search", "토지이음")</f>
        <v/>
      </c>
      <c r="O2783" s="3" t="inlineStr">
        <is>
          <t>대지</t>
        </is>
      </c>
      <c r="P2783" s="4" t="n">
        <v>1</v>
      </c>
      <c r="Q2783" s="4" t="n">
        <v>996</v>
      </c>
      <c r="R2783" s="3" t="inlineStr">
        <is>
          <t>지정되지않음</t>
        </is>
      </c>
      <c r="S2783" s="3" t="inlineStr">
        <is>
          <t>공업용</t>
        </is>
      </c>
      <c r="T2783" s="3" t="inlineStr">
        <is>
          <t>평지</t>
        </is>
      </c>
      <c r="U2783" s="3" t="inlineStr">
        <is>
          <t>사다리형</t>
        </is>
      </c>
      <c r="V2783" s="3" t="inlineStr">
        <is>
          <t>소로한면</t>
        </is>
      </c>
    </row>
    <row r="2784">
      <c r="A2784" s="3" t="inlineStr">
        <is>
          <t>전동면 노장리 580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55000</v>
      </c>
      <c r="G2784" s="4" t="n">
        <v>1114</v>
      </c>
      <c r="H2784" s="4" t="n">
        <v>337</v>
      </c>
      <c r="I2784" s="5" t="n">
        <v>163.2</v>
      </c>
      <c r="J2784" s="5" t="n">
        <v>29.5</v>
      </c>
      <c r="K2784" s="3" t="inlineStr">
        <is>
          <t>nan</t>
        </is>
      </c>
      <c r="L2784" s="6">
        <f>HYPERLINK("https://fin.land.naver.com/articles/2656648298", "매물Link")</f>
        <v/>
      </c>
      <c r="M2784" s="6">
        <f>HYPERLINK("https://map.naver.com/p/search/전동면 노장리 580", "지도Link")</f>
        <v/>
      </c>
      <c r="N2784" s="6">
        <f>HYPERLINK("http://www.eum.go.kr/web/ar/lu/luLandDet.jsp?pnu=3611038021105800000&amp;isNoScr=script&amp;mode=search", "토지이음")</f>
        <v/>
      </c>
      <c r="O2784" s="3" t="inlineStr">
        <is>
          <t>신안무소</t>
        </is>
      </c>
      <c r="P2784" s="4" t="n">
        <v>1</v>
      </c>
      <c r="Q2784" s="4" t="n">
        <v>500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전동면 노장리 651-7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261000</v>
      </c>
      <c r="G2785" s="4" t="n">
        <v>1233</v>
      </c>
      <c r="H2785" s="4" t="n">
        <v>373</v>
      </c>
      <c r="I2785" s="5" t="n">
        <v>699.7</v>
      </c>
      <c r="J2785" s="5" t="n">
        <v>78.7</v>
      </c>
      <c r="K2785" s="3" t="inlineStr">
        <is>
          <t>전동 삼거리 코너각지 토지매매</t>
        </is>
      </c>
      <c r="L2785" s="6">
        <f>HYPERLINK("https://fin.land.naver.com/articles/2655078913", "매물Link")</f>
        <v/>
      </c>
      <c r="M2785" s="6">
        <f>HYPERLINK("https://map.naver.com/p/search/전동면 노장리 651-7", "지도Link")</f>
        <v/>
      </c>
      <c r="N2785" s="6">
        <f>HYPERLINK("http://www.eum.go.kr/web/ar/lu/luLandDet.jsp?pnu=3611038021106510007&amp;isNoScr=script&amp;mode=search", "토지이음")</f>
        <v/>
      </c>
      <c r="O2785" s="3" t="inlineStr">
        <is>
          <t>엄지척</t>
        </is>
      </c>
      <c r="P2785" s="4" t="n">
        <v>1</v>
      </c>
      <c r="Q2785" s="4" t="n">
        <v>1119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중로각지</t>
        </is>
      </c>
    </row>
    <row r="2786">
      <c r="A2786" s="3" t="inlineStr">
        <is>
          <t>전동면 노장리 661-8</t>
        </is>
      </c>
      <c r="B2786" s="3" t="inlineStr">
        <is>
          <t>보전관리지역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80000</v>
      </c>
      <c r="G2786" s="4" t="n">
        <v>966</v>
      </c>
      <c r="H2786" s="4" t="n">
        <v>292</v>
      </c>
      <c r="I2786" s="5" t="n">
        <v>274</v>
      </c>
      <c r="J2786" s="5" t="n">
        <v>53.9</v>
      </c>
      <c r="K2786" s="3" t="inlineStr">
        <is>
          <t>전동역과 전동산업단지에 근접하고 2차선도로에 접한 창고,상가 등 최상</t>
        </is>
      </c>
      <c r="L2786" s="6">
        <f>HYPERLINK("https://fin.land.naver.com/articles/2654228214", "매물Link")</f>
        <v/>
      </c>
      <c r="M2786" s="6">
        <f>HYPERLINK("https://map.naver.com/p/search/전동면 노장리 661-8", "지도Link")</f>
        <v/>
      </c>
      <c r="N2786" s="6">
        <f>HYPERLINK("http://www.eum.go.kr/web/ar/lu/luLandDet.jsp?pnu=3611038021106610008&amp;isNoScr=script&amp;mode=search", "토지이음")</f>
        <v/>
      </c>
      <c r="O2786" s="3" t="inlineStr">
        <is>
          <t>온누리</t>
        </is>
      </c>
      <c r="P2786" s="4" t="n">
        <v>2</v>
      </c>
      <c r="Q2786" s="4" t="n">
        <v>966</v>
      </c>
      <c r="R2786" s="3" t="inlineStr">
        <is>
          <t>지정되지않음</t>
        </is>
      </c>
      <c r="S2786" s="3" t="inlineStr">
        <is>
          <t>공업용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소로한면</t>
        </is>
      </c>
    </row>
    <row r="2787">
      <c r="A2787" s="3" t="inlineStr">
        <is>
          <t>전동면 노장리 661-8</t>
        </is>
      </c>
      <c r="B2787" s="3" t="inlineStr">
        <is>
          <t>보전관리지역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146000</v>
      </c>
      <c r="G2787" s="4" t="n">
        <v>966</v>
      </c>
      <c r="H2787" s="4" t="n">
        <v>292</v>
      </c>
      <c r="I2787" s="5" t="n">
        <v>500</v>
      </c>
      <c r="J2787" s="5" t="n">
        <v>53.9</v>
      </c>
      <c r="K2787" s="3" t="inlineStr">
        <is>
          <t>도로접, 연접.분할매도 가능, 투자가치상승</t>
        </is>
      </c>
      <c r="L2787" s="6">
        <f>HYPERLINK("https://fin.land.naver.com/articles/2652384856", "매물Link")</f>
        <v/>
      </c>
      <c r="M2787" s="6">
        <f>HYPERLINK("https://map.naver.com/p/search/전동면 노장리 661-8", "지도Link")</f>
        <v/>
      </c>
      <c r="N2787" s="6">
        <f>HYPERLINK("http://www.eum.go.kr/web/ar/lu/luLandDet.jsp?pnu=3611038021106610008&amp;isNoScr=script&amp;mode=search", "토지이음")</f>
        <v/>
      </c>
      <c r="O2787" s="3" t="inlineStr">
        <is>
          <t>큰길</t>
        </is>
      </c>
      <c r="P2787" s="4" t="n">
        <v>1</v>
      </c>
      <c r="Q2787" s="4" t="n">
        <v>966</v>
      </c>
      <c r="R2787" s="3" t="inlineStr">
        <is>
          <t>지정되지않음</t>
        </is>
      </c>
      <c r="S2787" s="3" t="inlineStr">
        <is>
          <t>공업용</t>
        </is>
      </c>
      <c r="T2787" s="3" t="inlineStr">
        <is>
          <t>평지</t>
        </is>
      </c>
      <c r="U2787" s="3" t="inlineStr">
        <is>
          <t>사다리형</t>
        </is>
      </c>
      <c r="V2787" s="3" t="inlineStr">
        <is>
          <t>소로한면</t>
        </is>
      </c>
    </row>
    <row r="2788">
      <c r="A2788" s="3" t="inlineStr">
        <is>
          <t>전동면 노장리 661-9</t>
        </is>
      </c>
      <c r="B2788" s="3" t="inlineStr">
        <is>
          <t>보전관리지역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249000</v>
      </c>
      <c r="G2788" s="4" t="n">
        <v>1648</v>
      </c>
      <c r="H2788" s="4" t="n">
        <v>499</v>
      </c>
      <c r="I2788" s="5" t="n">
        <v>499</v>
      </c>
      <c r="J2788" s="5" t="n">
        <v>51.2</v>
      </c>
      <c r="K2788" s="3" t="inlineStr">
        <is>
          <t>도로접, 상승가치있는 땅, 연접매매, 분할등 가능</t>
        </is>
      </c>
      <c r="L2788" s="6">
        <f>HYPERLINK("https://fin.land.naver.com/articles/2652384536", "매물Link")</f>
        <v/>
      </c>
      <c r="M2788" s="6">
        <f>HYPERLINK("https://map.naver.com/p/search/전동면 노장리 661-9", "지도Link")</f>
        <v/>
      </c>
      <c r="N2788" s="6">
        <f>HYPERLINK("http://www.eum.go.kr/web/ar/lu/luLandDet.jsp?pnu=3611038021106610009&amp;isNoScr=script&amp;mode=search", "토지이음")</f>
        <v/>
      </c>
      <c r="O2788" s="3" t="inlineStr">
        <is>
          <t>큰길</t>
        </is>
      </c>
      <c r="P2788" s="4" t="n">
        <v>1</v>
      </c>
      <c r="Q2788" s="4" t="n">
        <v>1648</v>
      </c>
      <c r="R2788" s="3" t="inlineStr">
        <is>
          <t>지정되지않음</t>
        </is>
      </c>
      <c r="S2788" s="3" t="inlineStr">
        <is>
          <t>공업용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노장리 산109</t>
        </is>
      </c>
      <c r="B2789" s="3" t="inlineStr">
        <is>
          <t>농림지역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25000</v>
      </c>
      <c r="G2789" s="4" t="n">
        <v>53000</v>
      </c>
      <c r="H2789" s="4" t="n">
        <v>16032</v>
      </c>
      <c r="I2789" s="5" t="n">
        <v>1.6</v>
      </c>
      <c r="J2789" s="5" t="n">
        <v>2</v>
      </c>
      <c r="K2789" s="3" t="inlineStr">
        <is>
          <t>임업용 도로가 있어 약초 및 버섯 등을 재배할 수 있는 초 저렴한 임야</t>
        </is>
      </c>
      <c r="L2789" s="6">
        <f>HYPERLINK("https://fin.land.naver.com/articles/2656232195", "매물Link")</f>
        <v/>
      </c>
      <c r="M2789" s="6">
        <f>HYPERLINK("https://map.naver.com/p/search/전동면 노장리 산109", "지도Link")</f>
        <v/>
      </c>
      <c r="N2789" s="6">
        <f>HYPERLINK("http://www.eum.go.kr/web/ar/lu/luLandDet.jsp?pnu=3611038021201090000&amp;isNoScr=script&amp;mode=search", "토지이음")</f>
        <v/>
      </c>
      <c r="O2789" s="3" t="inlineStr">
        <is>
          <t>스마일세종</t>
        </is>
      </c>
      <c r="P2789" s="4" t="n">
        <v>1</v>
      </c>
      <c r="Q2789" s="4" t="n">
        <v>72694</v>
      </c>
      <c r="R2789" s="3" t="inlineStr">
        <is>
          <t>지정되지않음</t>
        </is>
      </c>
      <c r="S2789" s="3" t="inlineStr">
        <is>
          <t>자연림</t>
        </is>
      </c>
      <c r="T2789" s="3" t="inlineStr">
        <is>
          <t>급경사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전동면 노장리 산96-2</t>
        </is>
      </c>
      <c r="B2790" s="3" t="inlineStr">
        <is>
          <t>계획관리지역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93120</v>
      </c>
      <c r="G2790" s="4" t="n">
        <v>3848</v>
      </c>
      <c r="H2790" s="4" t="n">
        <v>1164</v>
      </c>
      <c r="I2790" s="5" t="n">
        <v>80</v>
      </c>
      <c r="J2790" s="5" t="n">
        <v>5.1</v>
      </c>
      <c r="K2790" s="3" t="inlineStr">
        <is>
          <t>전동일반산업단지 인접 계획관리 임야매매</t>
        </is>
      </c>
      <c r="L2790" s="6">
        <f>HYPERLINK("https://fin.land.naver.com/articles/2652109828", "매물Link")</f>
        <v/>
      </c>
      <c r="M2790" s="6">
        <f>HYPERLINK("https://map.naver.com/p/search/전동면 노장리 산96-2", "지도Link")</f>
        <v/>
      </c>
      <c r="N2790" s="6">
        <f>HYPERLINK("http://www.eum.go.kr/web/ar/lu/luLandDet.jsp?pnu=3611038021200960002&amp;isNoScr=script&amp;mode=search", "토지이음")</f>
        <v/>
      </c>
      <c r="O2790" s="3" t="inlineStr">
        <is>
          <t>자이</t>
        </is>
      </c>
      <c r="P2790" s="4" t="n">
        <v>1</v>
      </c>
      <c r="Q2790" s="4" t="n">
        <v>3848</v>
      </c>
      <c r="R2790" s="3" t="inlineStr">
        <is>
          <t>농림지역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미곡리 123</t>
        </is>
      </c>
      <c r="B2791" s="3" t="inlineStr">
        <is>
          <t>농림지역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75000</v>
      </c>
      <c r="G2791" s="4" t="n">
        <v>3990</v>
      </c>
      <c r="H2791" s="4" t="n">
        <v>1207</v>
      </c>
      <c r="I2791" s="5" t="n">
        <v>62.1</v>
      </c>
      <c r="J2791" s="5" t="n">
        <v>13.8</v>
      </c>
      <c r="K2791" s="3" t="inlineStr">
        <is>
          <t>대토용,가격조정가능</t>
        </is>
      </c>
      <c r="L2791" s="6">
        <f>HYPERLINK("https://fin.land.naver.com/articles/2653703885", "매물Link")</f>
        <v/>
      </c>
      <c r="M2791" s="6">
        <f>HYPERLINK("https://map.naver.com/p/search/전동면 미곡리 123", "지도Link")</f>
        <v/>
      </c>
      <c r="N2791" s="6">
        <f>HYPERLINK("http://www.eum.go.kr/web/ar/lu/luLandDet.jsp?pnu=3611038029101230000&amp;isNoScr=script&amp;mode=search", "토지이음")</f>
        <v/>
      </c>
      <c r="O2791" s="3" t="inlineStr">
        <is>
          <t>지원</t>
        </is>
      </c>
      <c r="P2791" s="4" t="n">
        <v>1</v>
      </c>
      <c r="Q2791" s="4" t="n">
        <v>3990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미곡리 166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20000</v>
      </c>
      <c r="G2792" s="4" t="n">
        <v>1203</v>
      </c>
      <c r="H2792" s="4" t="n">
        <v>364</v>
      </c>
      <c r="I2792" s="5" t="n">
        <v>54.9</v>
      </c>
      <c r="J2792" s="5" t="n">
        <v>18.5</v>
      </c>
      <c r="K2792" s="3" t="inlineStr">
        <is>
          <t>전망트여있는 전으로 주말농장,쉼터,펜션등 추천</t>
        </is>
      </c>
      <c r="L2792" s="6">
        <f>HYPERLINK("https://fin.land.naver.com/articles/2656648467", "매물Link")</f>
        <v/>
      </c>
      <c r="M2792" s="6">
        <f>HYPERLINK("https://map.naver.com/p/search/전동면 미곡리 166", "지도Link")</f>
        <v/>
      </c>
      <c r="N2792" s="6">
        <f>HYPERLINK("http://www.eum.go.kr/web/ar/lu/luLandDet.jsp?pnu=3611038029101660000&amp;isNoScr=script&amp;mode=search", "토지이음")</f>
        <v/>
      </c>
      <c r="O2792" s="3" t="inlineStr">
        <is>
          <t>신안무소</t>
        </is>
      </c>
      <c r="P2792" s="4" t="n">
        <v>1</v>
      </c>
      <c r="Q2792" s="4" t="n">
        <v>1203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미곡리 243</t>
        </is>
      </c>
      <c r="B2793" s="3" t="inlineStr">
        <is>
          <t>생산관리지역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8000</v>
      </c>
      <c r="G2793" s="4" t="n">
        <v>1385</v>
      </c>
      <c r="H2793" s="4" t="n">
        <v>419</v>
      </c>
      <c r="I2793" s="5" t="n">
        <v>19.1</v>
      </c>
      <c r="J2793" s="5" t="n">
        <v>19</v>
      </c>
      <c r="K2793" s="3" t="inlineStr">
        <is>
          <t>현재 과일 농사중인 토지입니다. 관심 있으신 분들 전화주세요</t>
        </is>
      </c>
      <c r="L2793" s="6">
        <f>HYPERLINK("https://fin.land.naver.com/articles/2652128795", "매물Link")</f>
        <v/>
      </c>
      <c r="M2793" s="6">
        <f>HYPERLINK("https://map.naver.com/p/search/전동면 미곡리 243", "지도Link")</f>
        <v/>
      </c>
      <c r="N2793" s="6">
        <f>HYPERLINK("http://www.eum.go.kr/web/ar/lu/luLandDet.jsp?pnu=3611038029102430000&amp;isNoScr=script&amp;mode=search", "토지이음")</f>
        <v/>
      </c>
      <c r="O2793" s="3" t="inlineStr">
        <is>
          <t>보람</t>
        </is>
      </c>
      <c r="P2793" s="4" t="n">
        <v>1</v>
      </c>
      <c r="Q2793" s="4" t="n">
        <v>1385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전동면 미곡리 252-2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224000</v>
      </c>
      <c r="G2794" s="4" t="n">
        <v>7415</v>
      </c>
      <c r="H2794" s="4" t="n">
        <v>2243</v>
      </c>
      <c r="I2794" s="5" t="n">
        <v>99.90000000000001</v>
      </c>
      <c r="J2794" s="5" t="n">
        <v>21.8</v>
      </c>
      <c r="K2794" s="3" t="inlineStr">
        <is>
          <t>남풍세ic 10분 공장 물류 창고용지로 적합</t>
        </is>
      </c>
      <c r="L2794" s="6">
        <f>HYPERLINK("https://fin.land.naver.com/articles/2653269338", "매물Link")</f>
        <v/>
      </c>
      <c r="M2794" s="6">
        <f>HYPERLINK("https://map.naver.com/p/search/전동면 미곡리 252-2", "지도Link")</f>
        <v/>
      </c>
      <c r="N2794" s="6">
        <f>HYPERLINK("http://www.eum.go.kr/web/ar/lu/luLandDet.jsp?pnu=3611038029102520002&amp;isNoScr=script&amp;mode=search", "토지이음")</f>
        <v/>
      </c>
      <c r="O2794" s="3" t="inlineStr">
        <is>
          <t>프로</t>
        </is>
      </c>
      <c r="P2794" s="4" t="n">
        <v>1</v>
      </c>
      <c r="Q2794" s="4" t="n">
        <v>7415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급경사</t>
        </is>
      </c>
      <c r="U2794" s="3" t="inlineStr">
        <is>
          <t>부정형</t>
        </is>
      </c>
      <c r="V2794" s="3" t="inlineStr">
        <is>
          <t>소로한면</t>
        </is>
      </c>
    </row>
    <row r="2795">
      <c r="A2795" s="3" t="inlineStr">
        <is>
          <t>전동면 미곡리 268-2</t>
        </is>
      </c>
      <c r="B2795" s="3" t="inlineStr">
        <is>
          <t>농림지역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25000</v>
      </c>
      <c r="G2795" s="4" t="n">
        <v>1382</v>
      </c>
      <c r="H2795" s="4" t="n">
        <v>418</v>
      </c>
      <c r="I2795" s="5" t="n">
        <v>59.8</v>
      </c>
      <c r="J2795" s="5" t="n">
        <v>14.4</v>
      </c>
      <c r="K2795" s="3" t="inlineStr">
        <is>
          <t>세종시 2억대 전동면토지 농업경영체등록 가능</t>
        </is>
      </c>
      <c r="L2795" s="6">
        <f>HYPERLINK("https://fin.land.naver.com/articles/2652494848", "매물Link")</f>
        <v/>
      </c>
      <c r="M2795" s="6">
        <f>HYPERLINK("https://map.naver.com/p/search/전동면 미곡리 268-2", "지도Link")</f>
        <v/>
      </c>
      <c r="N2795" s="6">
        <f>HYPERLINK("http://www.eum.go.kr/web/ar/lu/luLandDet.jsp?pnu=3611038029102680002&amp;isNoScr=script&amp;mode=search", "토지이음")</f>
        <v/>
      </c>
      <c r="O2795" s="3" t="inlineStr">
        <is>
          <t>지성</t>
        </is>
      </c>
      <c r="P2795" s="4" t="n">
        <v>1</v>
      </c>
      <c r="Q2795" s="4" t="n">
        <v>1442</v>
      </c>
      <c r="R2795" s="3" t="inlineStr">
        <is>
          <t>지정되지않음</t>
        </is>
      </c>
      <c r="S2795" s="3" t="inlineStr">
        <is>
          <t>답</t>
        </is>
      </c>
      <c r="T2795" s="3" t="inlineStr">
        <is>
          <t>평지</t>
        </is>
      </c>
      <c r="U2795" s="3" t="inlineStr">
        <is>
          <t>세로장방</t>
        </is>
      </c>
      <c r="V2795" s="3" t="inlineStr">
        <is>
          <t>세로한면(가)</t>
        </is>
      </c>
    </row>
    <row r="2796">
      <c r="A2796" s="3" t="inlineStr">
        <is>
          <t>전동면 미곡리 269-3</t>
        </is>
      </c>
      <c r="B2796" s="3" t="inlineStr">
        <is>
          <t>농림지역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98700</v>
      </c>
      <c r="G2796" s="4" t="n">
        <v>2176</v>
      </c>
      <c r="H2796" s="4" t="n">
        <v>658</v>
      </c>
      <c r="I2796" s="5" t="n">
        <v>150</v>
      </c>
      <c r="J2796" s="5" t="n">
        <v>17.3</v>
      </c>
      <c r="K2796" s="3" t="inlineStr">
        <is>
          <t>nan</t>
        </is>
      </c>
      <c r="L2796" s="6">
        <f>HYPERLINK("https://fin.land.naver.com/articles/2655169095", "매물Link")</f>
        <v/>
      </c>
      <c r="M2796" s="6">
        <f>HYPERLINK("https://map.naver.com/p/search/전동면 미곡리 269-3", "지도Link")</f>
        <v/>
      </c>
      <c r="N2796" s="6">
        <f>HYPERLINK("http://www.eum.go.kr/web/ar/lu/luLandDet.jsp?pnu=3611038029102690003&amp;isNoScr=script&amp;mode=search", "토지이음")</f>
        <v/>
      </c>
      <c r="O2796" s="3" t="inlineStr">
        <is>
          <t>오송랜드</t>
        </is>
      </c>
      <c r="P2796" s="4" t="n">
        <v>3</v>
      </c>
      <c r="Q2796" s="4" t="n">
        <v>2176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소로각지</t>
        </is>
      </c>
    </row>
    <row r="2797">
      <c r="A2797" s="3" t="inlineStr">
        <is>
          <t>전동면 미곡리 271-1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55800</v>
      </c>
      <c r="G2797" s="4" t="n">
        <v>2464</v>
      </c>
      <c r="H2797" s="4" t="n">
        <v>745</v>
      </c>
      <c r="I2797" s="5" t="n">
        <v>74.90000000000001</v>
      </c>
      <c r="J2797" s="5" t="n">
        <v>14.8</v>
      </c>
      <c r="K2797" s="3" t="inlineStr">
        <is>
          <t>농림지역,  전.답 2필지</t>
        </is>
      </c>
      <c r="L2797" s="6">
        <f>HYPERLINK("https://fin.land.naver.com/articles/2654907066", "매물Link")</f>
        <v/>
      </c>
      <c r="M2797" s="6">
        <f>HYPERLINK("https://map.naver.com/p/search/전동면 미곡리 271-1", "지도Link")</f>
        <v/>
      </c>
      <c r="N2797" s="6">
        <f>HYPERLINK("http://www.eum.go.kr/web/ar/lu/luLandDet.jsp?pnu=3611038029102710001&amp;isNoScr=script&amp;mode=search", "토지이음")</f>
        <v/>
      </c>
      <c r="O2797" s="3" t="inlineStr">
        <is>
          <t>삼성동문단지내</t>
        </is>
      </c>
      <c r="P2797" s="4" t="n">
        <v>1</v>
      </c>
      <c r="Q2797" s="4" t="n">
        <v>2051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전동면 미곡리 271-3</t>
        </is>
      </c>
      <c r="B2798" s="3" t="inlineStr">
        <is>
          <t>농림지역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29000</v>
      </c>
      <c r="G2798" s="4" t="n">
        <v>2277</v>
      </c>
      <c r="H2798" s="4" t="n">
        <v>689</v>
      </c>
      <c r="I2798" s="5" t="n">
        <v>42.1</v>
      </c>
      <c r="J2798" s="5" t="n">
        <v>16.9</v>
      </c>
      <c r="K2798" s="3" t="inlineStr">
        <is>
          <t>도로접한 저렴한 농지, 농업진흘구역</t>
        </is>
      </c>
      <c r="L2798" s="6">
        <f>HYPERLINK("https://fin.land.naver.com/articles/2652046257", "매물Link")</f>
        <v/>
      </c>
      <c r="M2798" s="6">
        <f>HYPERLINK("https://map.naver.com/p/search/전동면 미곡리 271-3", "지도Link")</f>
        <v/>
      </c>
      <c r="N2798" s="6">
        <f>HYPERLINK("http://www.eum.go.kr/web/ar/lu/luLandDet.jsp?pnu=3611038029102710003&amp;isNoScr=script&amp;mode=search", "토지이음")</f>
        <v/>
      </c>
      <c r="O2798" s="3" t="inlineStr">
        <is>
          <t>미스터홈즈강남지사</t>
        </is>
      </c>
      <c r="P2798" s="4" t="n">
        <v>1</v>
      </c>
      <c r="Q2798" s="4" t="n">
        <v>1230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소로한면</t>
        </is>
      </c>
    </row>
    <row r="2799">
      <c r="A2799" s="3" t="inlineStr">
        <is>
          <t>전동면 미곡리 328</t>
        </is>
      </c>
      <c r="B2799" s="3" t="inlineStr">
        <is>
          <t>농림지역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83000</v>
      </c>
      <c r="G2799" s="4" t="n">
        <v>3908</v>
      </c>
      <c r="H2799" s="4" t="n">
        <v>1182</v>
      </c>
      <c r="I2799" s="5" t="n">
        <v>70.2</v>
      </c>
      <c r="J2799" s="5" t="n">
        <v>16.9</v>
      </c>
      <c r="K2799" s="3" t="inlineStr">
        <is>
          <t>328번지외1필지   2차선도로접함.</t>
        </is>
      </c>
      <c r="L2799" s="6">
        <f>HYPERLINK("https://fin.land.naver.com/articles/2654180423", "매물Link")</f>
        <v/>
      </c>
      <c r="M2799" s="6">
        <f>HYPERLINK("https://map.naver.com/p/search/전동면 미곡리 328", "지도Link")</f>
        <v/>
      </c>
      <c r="N2799" s="6">
        <f>HYPERLINK("http://www.eum.go.kr/web/ar/lu/luLandDet.jsp?pnu=3611038029103280000&amp;isNoScr=script&amp;mode=search", "토지이음")</f>
        <v/>
      </c>
      <c r="O2799" s="3" t="inlineStr">
        <is>
          <t>현대랜드</t>
        </is>
      </c>
      <c r="P2799" s="4" t="n">
        <v>1</v>
      </c>
      <c r="Q2799" s="4" t="n">
        <v>2476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소로한면</t>
        </is>
      </c>
    </row>
    <row r="2800">
      <c r="A2800" s="3" t="inlineStr">
        <is>
          <t>전동면 미곡리 337-4</t>
        </is>
      </c>
      <c r="B2800" s="3" t="inlineStr">
        <is>
          <t>농림지역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44520</v>
      </c>
      <c r="G2800" s="4" t="n">
        <v>2453</v>
      </c>
      <c r="H2800" s="4" t="n">
        <v>742</v>
      </c>
      <c r="I2800" s="5" t="n">
        <v>60</v>
      </c>
      <c r="J2800" s="5" t="n">
        <v>15.2</v>
      </c>
      <c r="K2800" s="3" t="inlineStr">
        <is>
          <t>2차선 계획도로 접 길이 뚫리면 돈이 보인다 벤처벨리 수혜지역</t>
        </is>
      </c>
      <c r="L2800" s="6">
        <f>HYPERLINK("https://fin.land.naver.com/articles/2654652362", "매물Link")</f>
        <v/>
      </c>
      <c r="M2800" s="6">
        <f>HYPERLINK("https://map.naver.com/p/search/전동면 미곡리 337-4", "지도Link")</f>
        <v/>
      </c>
      <c r="N2800" s="6">
        <f>HYPERLINK("http://www.eum.go.kr/web/ar/lu/luLandDet.jsp?pnu=3611038029103370004&amp;isNoScr=script&amp;mode=search", "토지이음")</f>
        <v/>
      </c>
      <c r="O2800" s="3" t="inlineStr">
        <is>
          <t>찬스</t>
        </is>
      </c>
      <c r="P2800" s="4" t="n">
        <v>1</v>
      </c>
      <c r="Q2800" s="4" t="n">
        <v>2453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미곡리 399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12000</v>
      </c>
      <c r="G2801" s="4" t="n">
        <v>648</v>
      </c>
      <c r="H2801" s="4" t="n">
        <v>196</v>
      </c>
      <c r="I2801" s="5" t="n">
        <v>61.2</v>
      </c>
      <c r="J2801" s="5" t="n">
        <v>15.5</v>
      </c>
      <c r="K2801" s="3" t="inlineStr">
        <is>
          <t>1번국도바로 옆 접근성 좋은 토지 매매</t>
        </is>
      </c>
      <c r="L2801" s="6">
        <f>HYPERLINK("https://fin.land.naver.com/articles/2653626803", "매물Link")</f>
        <v/>
      </c>
      <c r="M2801" s="6">
        <f>HYPERLINK("https://map.naver.com/p/search/전동면 미곡리 399", "지도Link")</f>
        <v/>
      </c>
      <c r="N2801" s="6">
        <f>HYPERLINK("http://www.eum.go.kr/web/ar/lu/luLandDet.jsp?pnu=3611038029103990000&amp;isNoScr=script&amp;mode=search", "토지이음")</f>
        <v/>
      </c>
      <c r="O2801" s="3" t="inlineStr">
        <is>
          <t>드림사무소</t>
        </is>
      </c>
      <c r="P2801" s="4" t="n">
        <v>1</v>
      </c>
      <c r="Q2801" s="4" t="n">
        <v>648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미곡리 429-10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97000</v>
      </c>
      <c r="G2802" s="4" t="n">
        <v>12896</v>
      </c>
      <c r="H2802" s="4" t="n">
        <v>3901</v>
      </c>
      <c r="I2802" s="5" t="n">
        <v>24.9</v>
      </c>
      <c r="J2802" s="5" t="n">
        <v>6.3</v>
      </c>
      <c r="K2802" s="3" t="inlineStr">
        <is>
          <t>세종시 1번 국도변에서 잘 보이는 곳으로 광고효과 우수</t>
        </is>
      </c>
      <c r="L2802" s="6">
        <f>HYPERLINK("https://fin.land.naver.com/articles/2654741633", "매물Link")</f>
        <v/>
      </c>
      <c r="M2802" s="6">
        <f>HYPERLINK("https://map.naver.com/p/search/전동면 미곡리 429-10", "지도Link")</f>
        <v/>
      </c>
      <c r="N2802" s="6">
        <f>HYPERLINK("http://www.eum.go.kr/web/ar/lu/luLandDet.jsp?pnu=3611038029104290010&amp;isNoScr=script&amp;mode=search", "토지이음")</f>
        <v/>
      </c>
      <c r="O2802" s="3" t="inlineStr">
        <is>
          <t>창고의여왕</t>
        </is>
      </c>
      <c r="P2802" s="4" t="n">
        <v>2</v>
      </c>
      <c r="Q2802" s="4" t="n">
        <v>12896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미곡리 468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6000</v>
      </c>
      <c r="G2803" s="4" t="n">
        <v>638</v>
      </c>
      <c r="H2803" s="4" t="n">
        <v>193</v>
      </c>
      <c r="I2803" s="5" t="n">
        <v>31.1</v>
      </c>
      <c r="J2803" s="5" t="n">
        <v>11.9</v>
      </c>
      <c r="K2803" s="3" t="inlineStr">
        <is>
          <t>남향으로 정면 트여있어 주말 갈족쉼터 추천, 가족묘자리로도 괜찮아요</t>
        </is>
      </c>
      <c r="L2803" s="6">
        <f>HYPERLINK("https://fin.land.naver.com/articles/2655744145", "매물Link")</f>
        <v/>
      </c>
      <c r="M2803" s="6">
        <f>HYPERLINK("https://map.naver.com/p/search/전동면 미곡리 468", "지도Link")</f>
        <v/>
      </c>
      <c r="N2803" s="6">
        <f>HYPERLINK("http://www.eum.go.kr/web/ar/lu/luLandDet.jsp?pnu=3611038029104680000&amp;isNoScr=script&amp;mode=search", "토지이음")</f>
        <v/>
      </c>
      <c r="O2803" s="3" t="inlineStr">
        <is>
          <t>신안무소</t>
        </is>
      </c>
      <c r="P2803" s="4" t="n">
        <v>1</v>
      </c>
      <c r="Q2803" s="4" t="n">
        <v>638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미곡리 531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2305</v>
      </c>
      <c r="H2804" s="4" t="n">
        <v>697</v>
      </c>
      <c r="I2804" s="5" t="n">
        <v>28.7</v>
      </c>
      <c r="J2804" s="5" t="n">
        <v>12.3</v>
      </c>
      <c r="K2804" s="3" t="inlineStr">
        <is>
          <t>저렴한 농지 스마트 팜 토지 찾으시면 여기 어때요</t>
        </is>
      </c>
      <c r="L2804" s="6">
        <f>HYPERLINK("https://fin.land.naver.com/articles/2654228616", "매물Link")</f>
        <v/>
      </c>
      <c r="M2804" s="6">
        <f>HYPERLINK("https://map.naver.com/p/search/전동면 미곡리 531", "지도Link")</f>
        <v/>
      </c>
      <c r="N2804" s="6">
        <f>HYPERLINK("http://www.eum.go.kr/web/ar/lu/luLandDet.jsp?pnu=3611038029105310000&amp;isNoScr=script&amp;mode=search", "토지이음")</f>
        <v/>
      </c>
      <c r="O2804" s="3" t="inlineStr">
        <is>
          <t>미스터홈즈강남지사</t>
        </is>
      </c>
      <c r="P2804" s="4" t="n">
        <v>1</v>
      </c>
      <c r="Q2804" s="4" t="n">
        <v>2305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미곡리 544-1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66000</v>
      </c>
      <c r="G2805" s="4" t="n">
        <v>3117</v>
      </c>
      <c r="H2805" s="4" t="n">
        <v>943</v>
      </c>
      <c r="I2805" s="5" t="n">
        <v>70</v>
      </c>
      <c r="J2805" s="5" t="n">
        <v>12</v>
      </c>
      <c r="K2805" s="3" t="inlineStr">
        <is>
          <t>대토환영. 전동면 미곡리 국유지 활용가능한 농지</t>
        </is>
      </c>
      <c r="L2805" s="6">
        <f>HYPERLINK("https://fin.land.naver.com/articles/2652031378", "매물Link")</f>
        <v/>
      </c>
      <c r="M2805" s="6">
        <f>HYPERLINK("https://map.naver.com/p/search/전동면 미곡리 544-1", "지도Link")</f>
        <v/>
      </c>
      <c r="N2805" s="6">
        <f>HYPERLINK("http://www.eum.go.kr/web/ar/lu/luLandDet.jsp?pnu=3611038029105440001&amp;isNoScr=script&amp;mode=search", "토지이음")</f>
        <v/>
      </c>
      <c r="O2805" s="3" t="inlineStr">
        <is>
          <t>미스터홈즈강남지사</t>
        </is>
      </c>
      <c r="P2805" s="4" t="n">
        <v>1</v>
      </c>
      <c r="Q2805" s="4" t="n">
        <v>3117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미곡리 59</t>
        </is>
      </c>
      <c r="B2806" s="3" t="inlineStr">
        <is>
          <t>생산관리지역</t>
        </is>
      </c>
      <c r="C2806" s="3" t="inlineStr">
        <is>
          <t>대</t>
        </is>
      </c>
      <c r="D2806" s="3" t="inlineStr">
        <is>
          <t>대</t>
        </is>
      </c>
      <c r="E2806" s="3" t="inlineStr">
        <is>
          <t>매매</t>
        </is>
      </c>
      <c r="F2806" s="4" t="n">
        <v>70000</v>
      </c>
      <c r="G2806" s="4" t="n">
        <v>344</v>
      </c>
      <c r="H2806" s="4" t="n">
        <v>104</v>
      </c>
      <c r="I2806" s="5" t="n">
        <v>673.1</v>
      </c>
      <c r="J2806" s="5" t="n">
        <v>29.2</v>
      </c>
      <c r="K2806" s="3" t="inlineStr">
        <is>
          <t>nan</t>
        </is>
      </c>
      <c r="L2806" s="6">
        <f>HYPERLINK("https://fin.land.naver.com/articles/2651575347", "매물Link")</f>
        <v/>
      </c>
      <c r="M2806" s="6">
        <f>HYPERLINK("https://map.naver.com/p/search/전동면 미곡리 59", "지도Link")</f>
        <v/>
      </c>
      <c r="N2806" s="6">
        <f>HYPERLINK("http://www.eum.go.kr/web/ar/lu/luLandDet.jsp?pnu=3611038029100590000&amp;isNoScr=script&amp;mode=search", "토지이음")</f>
        <v/>
      </c>
      <c r="O2806" s="3" t="inlineStr">
        <is>
          <t>세종몽땅</t>
        </is>
      </c>
      <c r="P2806" s="4" t="n">
        <v>1</v>
      </c>
      <c r="Q2806" s="4" t="n">
        <v>660</v>
      </c>
      <c r="R2806" s="3" t="inlineStr">
        <is>
          <t>지정되지않음</t>
        </is>
      </c>
      <c r="S2806" s="3" t="inlineStr">
        <is>
          <t>단독</t>
        </is>
      </c>
      <c r="T2806" s="3" t="inlineStr">
        <is>
          <t>완경사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전동면 미곡리 74-5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전</t>
        </is>
      </c>
      <c r="E2807" s="3" t="inlineStr">
        <is>
          <t>매매</t>
        </is>
      </c>
      <c r="F2807" s="4" t="n">
        <v>67000</v>
      </c>
      <c r="G2807" s="4" t="n">
        <v>1526</v>
      </c>
      <c r="H2807" s="4" t="n">
        <v>462</v>
      </c>
      <c r="I2807" s="5" t="n">
        <v>145</v>
      </c>
      <c r="J2807" s="5" t="n">
        <v>17.1</v>
      </c>
      <c r="K2807" s="3" t="inlineStr">
        <is>
          <t>도로접 계획관리지역 조망권뷰 최상, 알토란 토지 매매,가격조정가능</t>
        </is>
      </c>
      <c r="L2807" s="6">
        <f>HYPERLINK("https://fin.land.naver.com/articles/2656214848", "매물Link")</f>
        <v/>
      </c>
      <c r="M2807" s="6">
        <f>HYPERLINK("https://map.naver.com/p/search/전동면 미곡리 74-5", "지도Link")</f>
        <v/>
      </c>
      <c r="N2807" s="6">
        <f>HYPERLINK("http://www.eum.go.kr/web/ar/lu/luLandDet.jsp?pnu=3611038029100740005&amp;isNoScr=script&amp;mode=search", "토지이음")</f>
        <v/>
      </c>
      <c r="O2807" s="3" t="inlineStr">
        <is>
          <t>고운맘</t>
        </is>
      </c>
      <c r="P2807" s="4" t="n">
        <v>1</v>
      </c>
      <c r="Q2807" s="4" t="n">
        <v>1526</v>
      </c>
      <c r="R2807" s="3" t="inlineStr">
        <is>
          <t>계획관리지역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전동면 미곡리 산22-2</t>
        </is>
      </c>
      <c r="B2808" s="3" t="inlineStr">
        <is>
          <t>생산관리지역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64900</v>
      </c>
      <c r="G2808" s="4" t="n">
        <v>2261</v>
      </c>
      <c r="H2808" s="4" t="n">
        <v>684</v>
      </c>
      <c r="I2808" s="5" t="n">
        <v>94.90000000000001</v>
      </c>
      <c r="J2808" s="5" t="n">
        <v>8.4</v>
      </c>
      <c r="K2808" s="3" t="inlineStr">
        <is>
          <t>1번국도 접한 용도 다양한 토지매매</t>
        </is>
      </c>
      <c r="L2808" s="6">
        <f>HYPERLINK("https://fin.land.naver.com/articles/2655177402", "매물Link")</f>
        <v/>
      </c>
      <c r="M2808" s="6">
        <f>HYPERLINK("https://map.naver.com/p/search/전동면 미곡리 산22-2", "지도Link")</f>
        <v/>
      </c>
      <c r="N2808" s="6">
        <f>HYPERLINK("http://www.eum.go.kr/web/ar/lu/luLandDet.jsp?pnu=3611038029200220002&amp;isNoScr=script&amp;mode=search", "토지이음")</f>
        <v/>
      </c>
      <c r="O2808" s="3" t="inlineStr">
        <is>
          <t>에이스</t>
        </is>
      </c>
      <c r="P2808" s="4" t="n">
        <v>1</v>
      </c>
      <c r="Q2808" s="4" t="n">
        <v>2261</v>
      </c>
      <c r="R2808" s="3" t="inlineStr">
        <is>
          <t>지정되지않음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미곡리 산53-1</t>
        </is>
      </c>
      <c r="B2809" s="3" t="inlineStr">
        <is>
          <t>농림지역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42000</v>
      </c>
      <c r="G2809" s="4" t="n">
        <v>9917</v>
      </c>
      <c r="H2809" s="4" t="n">
        <v>3000</v>
      </c>
      <c r="I2809" s="5" t="n">
        <v>14</v>
      </c>
      <c r="J2809" s="5" t="n">
        <v>2.8</v>
      </c>
      <c r="K2809" s="3" t="inlineStr">
        <is>
          <t>세종벤처밸리 산단, 전의 일반산단 인근, 농임업용 임야</t>
        </is>
      </c>
      <c r="L2809" s="6">
        <f>HYPERLINK("https://fin.land.naver.com/articles/2652717483", "매물Link")</f>
        <v/>
      </c>
      <c r="M2809" s="6">
        <f>HYPERLINK("https://map.naver.com/p/search/전동면 미곡리 산53-1", "지도Link")</f>
        <v/>
      </c>
      <c r="N2809" s="6">
        <f>HYPERLINK("http://www.eum.go.kr/web/ar/lu/luLandDet.jsp?pnu=3611038029200530001&amp;isNoScr=script&amp;mode=search", "토지이음")</f>
        <v/>
      </c>
      <c r="O2809" s="3" t="inlineStr">
        <is>
          <t>성복역롯데캐슬(889-2400)</t>
        </is>
      </c>
      <c r="P2809" s="4" t="n">
        <v>1</v>
      </c>
      <c r="Q2809" s="4" t="n">
        <v>9917</v>
      </c>
      <c r="R2809" s="3" t="inlineStr">
        <is>
          <t>보전관리지역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보덕리 135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86000</v>
      </c>
      <c r="G2810" s="4" t="n">
        <v>1901</v>
      </c>
      <c r="H2810" s="4" t="n">
        <v>575</v>
      </c>
      <c r="I2810" s="5" t="n">
        <v>149.6</v>
      </c>
      <c r="J2810" s="5" t="n">
        <v>23.2</v>
      </c>
      <c r="K2810" s="3" t="inlineStr">
        <is>
          <t>보덕리 계획관리 과수원및 주택지</t>
        </is>
      </c>
      <c r="L2810" s="6">
        <f>HYPERLINK("https://fin.land.naver.com/articles/2655142457", "매물Link")</f>
        <v/>
      </c>
      <c r="M2810" s="6">
        <f>HYPERLINK("https://map.naver.com/p/search/전동면 보덕리 135", "지도Link")</f>
        <v/>
      </c>
      <c r="N2810" s="6">
        <f>HYPERLINK("http://www.eum.go.kr/web/ar/lu/luLandDet.jsp?pnu=3611038025101350000&amp;isNoScr=script&amp;mode=search", "토지이음")</f>
        <v/>
      </c>
      <c r="O2810" s="3" t="inlineStr">
        <is>
          <t>OK수</t>
        </is>
      </c>
      <c r="P2810" s="4" t="n">
        <v>1</v>
      </c>
      <c r="Q2810" s="4" t="n">
        <v>1896</v>
      </c>
      <c r="R2810" s="3" t="inlineStr">
        <is>
          <t>지정되지않음</t>
        </is>
      </c>
      <c r="S2810" s="3" t="inlineStr">
        <is>
          <t>과수원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보덕리 182-1</t>
        </is>
      </c>
      <c r="B2811" s="3" t="inlineStr">
        <is>
          <t>보전관리지역</t>
        </is>
      </c>
      <c r="C2811" s="3" t="inlineStr">
        <is>
          <t>과수원</t>
        </is>
      </c>
      <c r="D2811" s="3" t="inlineStr">
        <is>
          <t>과수원</t>
        </is>
      </c>
      <c r="E2811" s="3" t="inlineStr">
        <is>
          <t>매매</t>
        </is>
      </c>
      <c r="F2811" s="4" t="n">
        <v>45000</v>
      </c>
      <c r="G2811" s="4" t="n">
        <v>1017</v>
      </c>
      <c r="H2811" s="4" t="n">
        <v>308</v>
      </c>
      <c r="I2811" s="5" t="n">
        <v>146.1</v>
      </c>
      <c r="J2811" s="5" t="n">
        <v>23.2</v>
      </c>
      <c r="K2811" s="3" t="inlineStr">
        <is>
          <t>도로가 옆 투자로 좋은 토지</t>
        </is>
      </c>
      <c r="L2811" s="6">
        <f>HYPERLINK("https://fin.land.naver.com/articles/2650856625", "매물Link")</f>
        <v/>
      </c>
      <c r="M2811" s="6">
        <f>HYPERLINK("https://map.naver.com/p/search/전동면 보덕리 182-1", "지도Link")</f>
        <v/>
      </c>
      <c r="N2811" s="6">
        <f>HYPERLINK("http://www.eum.go.kr/web/ar/lu/luLandDet.jsp?pnu=3611038025101820001&amp;isNoScr=script&amp;mode=search",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1017</v>
      </c>
      <c r="R2811" s="3" t="inlineStr">
        <is>
          <t>지정되지않음</t>
        </is>
      </c>
      <c r="S2811" s="3" t="inlineStr">
        <is>
          <t>과수원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보덕리 201-3</t>
        </is>
      </c>
      <c r="B2812" s="3" t="inlineStr">
        <is>
          <t>계획관리지역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200000</v>
      </c>
      <c r="G2812" s="4" t="n">
        <v>1117</v>
      </c>
      <c r="H2812" s="4" t="n">
        <v>338</v>
      </c>
      <c r="I2812" s="5" t="n">
        <v>591.7</v>
      </c>
      <c r="J2812" s="5" t="n">
        <v>21</v>
      </c>
      <c r="K2812" s="3" t="inlineStr">
        <is>
          <t>이웃한 3필지 함께매도, 세종벤처벨리산단근처</t>
        </is>
      </c>
      <c r="L2812" s="6">
        <f>HYPERLINK("https://fin.land.naver.com/articles/2651009228", "매물Link")</f>
        <v/>
      </c>
      <c r="M2812" s="6">
        <f>HYPERLINK("https://map.naver.com/p/search/전동면 보덕리 201-3", "지도Link")</f>
        <v/>
      </c>
      <c r="N2812" s="6">
        <f>HYPERLINK("http://www.eum.go.kr/web/ar/lu/luLandDet.jsp?pnu=3611038025102010003&amp;isNoScr=script&amp;mode=search", "토지이음")</f>
        <v/>
      </c>
      <c r="O2812" s="3" t="inlineStr">
        <is>
          <t>생생</t>
        </is>
      </c>
      <c r="P2812" s="4" t="n">
        <v>1</v>
      </c>
      <c r="Q2812" s="4" t="n">
        <v>1117</v>
      </c>
      <c r="R2812" s="3" t="inlineStr">
        <is>
          <t>지정되지않음</t>
        </is>
      </c>
      <c r="S2812" s="3" t="inlineStr">
        <is>
          <t>전기타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보덕리 205-24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30000</v>
      </c>
      <c r="G2813" s="4" t="n">
        <v>1025</v>
      </c>
      <c r="H2813" s="4" t="n">
        <v>310</v>
      </c>
      <c r="I2813" s="5" t="n">
        <v>96.8</v>
      </c>
      <c r="J2813" s="5" t="n">
        <v>26.2</v>
      </c>
      <c r="K2813" s="3" t="inlineStr">
        <is>
          <t>nan</t>
        </is>
      </c>
      <c r="L2813" s="6">
        <f>HYPERLINK("https://fin.land.naver.com/articles/2651106056", "매물Link")</f>
        <v/>
      </c>
      <c r="M2813" s="6">
        <f>HYPERLINK("https://map.naver.com/p/search/전동면 보덕리 205-24", "지도Link")</f>
        <v/>
      </c>
      <c r="N2813" s="6">
        <f>HYPERLINK("http://www.eum.go.kr/web/ar/lu/luLandDet.jsp?pnu=3611038025102050024&amp;isNoScr=script&amp;mode=search", "토지이음")</f>
        <v/>
      </c>
      <c r="O2813" s="3" t="inlineStr">
        <is>
          <t>뉴엘리트탑</t>
        </is>
      </c>
      <c r="P2813" s="4" t="n">
        <v>1</v>
      </c>
      <c r="Q2813" s="4" t="n">
        <v>1025</v>
      </c>
      <c r="R2813" s="3" t="inlineStr">
        <is>
          <t>지정되지않음</t>
        </is>
      </c>
      <c r="S2813" s="3" t="inlineStr">
        <is>
          <t>전기타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보덕리 206-5</t>
        </is>
      </c>
      <c r="B2814" s="3" t="inlineStr">
        <is>
          <t>계획관리지역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32450</v>
      </c>
      <c r="G2814" s="4" t="n">
        <v>976</v>
      </c>
      <c r="H2814" s="4" t="n">
        <v>295</v>
      </c>
      <c r="I2814" s="5" t="n">
        <v>110</v>
      </c>
      <c r="J2814" s="5" t="n">
        <v>15.6</v>
      </c>
      <c r="K2814" s="3" t="inlineStr">
        <is>
          <t>nan</t>
        </is>
      </c>
      <c r="L2814" s="6">
        <f>HYPERLINK("https://fin.land.naver.com/articles/2656106838", "매물Link")</f>
        <v/>
      </c>
      <c r="M2814" s="6">
        <f>HYPERLINK("https://map.naver.com/p/search/전동면 보덕리 206-5", "지도Link")</f>
        <v/>
      </c>
      <c r="N2814" s="6">
        <f>HYPERLINK("http://www.eum.go.kr/web/ar/lu/luLandDet.jsp?pnu=3611038025102060005&amp;isNoScr=script&amp;mode=search", "토지이음")</f>
        <v/>
      </c>
      <c r="O2814" s="3" t="inlineStr">
        <is>
          <t>1등사무소</t>
        </is>
      </c>
      <c r="P2814" s="4" t="n">
        <v>1</v>
      </c>
      <c r="Q2814" s="4" t="n">
        <v>976</v>
      </c>
      <c r="R2814" s="3" t="inlineStr">
        <is>
          <t>지정되지않음</t>
        </is>
      </c>
      <c r="S2814" s="3" t="inlineStr">
        <is>
          <t>전기타</t>
        </is>
      </c>
      <c r="T2814" s="3" t="inlineStr">
        <is>
          <t>평지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보덕리 21-4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60000</v>
      </c>
      <c r="G2815" s="4" t="n">
        <v>968</v>
      </c>
      <c r="H2815" s="4" t="n">
        <v>293</v>
      </c>
      <c r="I2815" s="5" t="n">
        <v>204.8</v>
      </c>
      <c r="J2815" s="5" t="n">
        <v>26.5</v>
      </c>
      <c r="K2815" s="3" t="inlineStr">
        <is>
          <t>세종벤처벨리일반산업단지 인근, 투자가치 최고</t>
        </is>
      </c>
      <c r="L2815" s="6">
        <f>HYPERLINK("https://fin.land.naver.com/articles/2656676772", "매물Link")</f>
        <v/>
      </c>
      <c r="M2815" s="6">
        <f>HYPERLINK("https://map.naver.com/p/search/전동면 보덕리 21-4", "지도Link")</f>
        <v/>
      </c>
      <c r="N2815" s="6">
        <f>HYPERLINK("http://www.eum.go.kr/web/ar/lu/luLandDet.jsp?pnu=3611038025100210004&amp;isNoScr=script&amp;mode=search", "토지이음")</f>
        <v/>
      </c>
      <c r="O2815" s="3" t="inlineStr">
        <is>
          <t>세종공감</t>
        </is>
      </c>
      <c r="P2815" s="4" t="n">
        <v>1</v>
      </c>
      <c r="Q2815" s="4" t="n">
        <v>664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보덕리 273-4</t>
        </is>
      </c>
      <c r="B2816" s="3" t="inlineStr">
        <is>
          <t>계획관리지역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62300</v>
      </c>
      <c r="G2816" s="4" t="n">
        <v>1716</v>
      </c>
      <c r="H2816" s="4" t="n">
        <v>519</v>
      </c>
      <c r="I2816" s="5" t="n">
        <v>120</v>
      </c>
      <c r="J2816" s="5" t="n">
        <v>19.7</v>
      </c>
      <c r="K2816" s="3" t="inlineStr">
        <is>
          <t>세종벤처밸리산업단지 인근 토지</t>
        </is>
      </c>
      <c r="L2816" s="6">
        <f>HYPERLINK("https://fin.land.naver.com/articles/2654273965", "매물Link")</f>
        <v/>
      </c>
      <c r="M2816" s="6">
        <f>HYPERLINK("https://map.naver.com/p/search/전동면 보덕리 273-4", "지도Link")</f>
        <v/>
      </c>
      <c r="N2816" s="6">
        <f>HYPERLINK("http://www.eum.go.kr/web/ar/lu/luLandDet.jsp?pnu=3611038025102730004&amp;isNoScr=script&amp;mode=search", "토지이음")</f>
        <v/>
      </c>
      <c r="O2816" s="3" t="inlineStr">
        <is>
          <t>드림</t>
        </is>
      </c>
      <c r="P2816" s="4" t="n">
        <v>1</v>
      </c>
      <c r="Q2816" s="4" t="n">
        <v>1716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보덕리 378-12</t>
        </is>
      </c>
      <c r="B2817" s="3" t="inlineStr">
        <is>
          <t>농림지역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66700</v>
      </c>
      <c r="G2817" s="4" t="n">
        <v>4010</v>
      </c>
      <c r="H2817" s="4" t="n">
        <v>1213</v>
      </c>
      <c r="I2817" s="5" t="n">
        <v>55</v>
      </c>
      <c r="J2817" s="5" t="n">
        <v>17.9</v>
      </c>
      <c r="K2817" s="3" t="inlineStr">
        <is>
          <t>밴처밸리산단 옆 절대농지,대토추천,향후 개발 가능성 있음</t>
        </is>
      </c>
      <c r="L2817" s="6">
        <f>HYPERLINK("https://fin.land.naver.com/articles/2655744424", "매물Link")</f>
        <v/>
      </c>
      <c r="M2817" s="6">
        <f>HYPERLINK("https://map.naver.com/p/search/전동면 보덕리 378-12", "지도Link")</f>
        <v/>
      </c>
      <c r="N2817" s="6">
        <f>HYPERLINK("http://www.eum.go.kr/web/ar/lu/luLandDet.jsp?pnu=3611038025103780012&amp;isNoScr=script&amp;mode=search", "토지이음")</f>
        <v/>
      </c>
      <c r="O2817" s="3" t="inlineStr">
        <is>
          <t>신안무소</t>
        </is>
      </c>
      <c r="P2817" s="4" t="n">
        <v>1</v>
      </c>
      <c r="Q2817" s="4" t="n">
        <v>4010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세로장방</t>
        </is>
      </c>
      <c r="V2817" s="3" t="inlineStr">
        <is>
          <t>세로한면(가)</t>
        </is>
      </c>
    </row>
    <row r="2818">
      <c r="A2818" s="3" t="inlineStr">
        <is>
          <t>전동면 보덕리 381-8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19650</v>
      </c>
      <c r="G2818" s="4" t="n">
        <v>1120</v>
      </c>
      <c r="H2818" s="4" t="n">
        <v>339</v>
      </c>
      <c r="I2818" s="5" t="n">
        <v>58</v>
      </c>
      <c r="J2818" s="5" t="n">
        <v>16.9</v>
      </c>
      <c r="K2818" s="3" t="inlineStr">
        <is>
          <t>대토 농림지역 답, 조치원10분거리</t>
        </is>
      </c>
      <c r="L2818" s="6">
        <f>HYPERLINK("https://fin.land.naver.com/articles/2654226032", "매물Link")</f>
        <v/>
      </c>
      <c r="M2818" s="6">
        <f>HYPERLINK("https://map.naver.com/p/search/전동면 보덕리 381-8", "지도Link")</f>
        <v/>
      </c>
      <c r="N2818" s="6">
        <f>HYPERLINK("http://www.eum.go.kr/web/ar/lu/luLandDet.jsp?pnu=3611038025103810008&amp;isNoScr=script&amp;mode=search", "토지이음")</f>
        <v/>
      </c>
      <c r="O2818" s="3" t="inlineStr">
        <is>
          <t>미스터홈즈강남지사</t>
        </is>
      </c>
      <c r="P2818" s="4" t="n">
        <v>2</v>
      </c>
      <c r="Q2818" s="4" t="n">
        <v>1120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평지</t>
        </is>
      </c>
      <c r="U2818" s="3" t="inlineStr">
        <is>
          <t>세로장방</t>
        </is>
      </c>
      <c r="V2818" s="3" t="inlineStr">
        <is>
          <t>세로한면(가)</t>
        </is>
      </c>
    </row>
    <row r="2819">
      <c r="A2819" s="3" t="inlineStr">
        <is>
          <t>전동면 보덕리 383-13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2005</v>
      </c>
      <c r="H2819" s="4" t="n">
        <v>607</v>
      </c>
      <c r="I2819" s="5" t="n">
        <v>41.2</v>
      </c>
      <c r="J2819" s="5" t="n">
        <v>16.9</v>
      </c>
      <c r="K2819" s="3" t="inlineStr">
        <is>
          <t>급매 복토해서 과수등 나무식재중입니다</t>
        </is>
      </c>
      <c r="L2819" s="6">
        <f>HYPERLINK("https://fin.land.naver.com/articles/2652043426", "매물Link")</f>
        <v/>
      </c>
      <c r="M2819" s="6">
        <f>HYPERLINK("https://map.naver.com/p/search/전동면 보덕리 383-13", "지도Link")</f>
        <v/>
      </c>
      <c r="N2819" s="6">
        <f>HYPERLINK("http://www.eum.go.kr/web/ar/lu/luLandDet.jsp?pnu=3611038025103830013&amp;isNoScr=script&amp;mode=search", "토지이음")</f>
        <v/>
      </c>
      <c r="O2819" s="3" t="inlineStr">
        <is>
          <t>OK수</t>
        </is>
      </c>
      <c r="P2819" s="4" t="n">
        <v>1</v>
      </c>
      <c r="Q2819" s="4" t="n">
        <v>2005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세로장방</t>
        </is>
      </c>
      <c r="V2819" s="3" t="inlineStr">
        <is>
          <t>세로한면(가)</t>
        </is>
      </c>
    </row>
    <row r="2820">
      <c r="A2820" s="3" t="inlineStr">
        <is>
          <t>전동면 보덕리 383-13</t>
        </is>
      </c>
      <c r="B2820" s="3" t="inlineStr">
        <is>
          <t>농림지역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23000</v>
      </c>
      <c r="G2820" s="4" t="n">
        <v>2005</v>
      </c>
      <c r="H2820" s="4" t="n">
        <v>607</v>
      </c>
      <c r="I2820" s="5" t="n">
        <v>37.9</v>
      </c>
      <c r="J2820" s="5" t="n">
        <v>16.9</v>
      </c>
      <c r="K2820" s="3" t="inlineStr">
        <is>
          <t>보덕리</t>
        </is>
      </c>
      <c r="L2820" s="6">
        <f>HYPERLINK("https://fin.land.naver.com/articles/2653765438", "매물Link")</f>
        <v/>
      </c>
      <c r="M2820" s="6">
        <f>HYPERLINK("https://map.naver.com/p/search/전동면 보덕리 383-13", "지도Link")</f>
        <v/>
      </c>
      <c r="N2820" s="6">
        <f>HYPERLINK("http://www.eum.go.kr/web/ar/lu/luLandDet.jsp?pnu=3611038025103830013&amp;isNoScr=script&amp;mode=search",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2005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세로장방</t>
        </is>
      </c>
      <c r="V2820" s="3" t="inlineStr">
        <is>
          <t>세로한면(가)</t>
        </is>
      </c>
    </row>
    <row r="2821">
      <c r="A2821" s="3" t="inlineStr">
        <is>
          <t>전동면 보덕리 383-6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55000</v>
      </c>
      <c r="G2821" s="4" t="n">
        <v>3320</v>
      </c>
      <c r="H2821" s="4" t="n">
        <v>1004</v>
      </c>
      <c r="I2821" s="5" t="n">
        <v>54.8</v>
      </c>
      <c r="J2821" s="5" t="n">
        <v>16.9</v>
      </c>
      <c r="K2821" s="3" t="inlineStr">
        <is>
          <t>보덕리 농림지역 토지 매매</t>
        </is>
      </c>
      <c r="L2821" s="6">
        <f>HYPERLINK("https://fin.land.naver.com/articles/2653072728", "매물Link")</f>
        <v/>
      </c>
      <c r="M2821" s="6">
        <f>HYPERLINK("https://map.naver.com/p/search/전동면 보덕리 383-6", "지도Link")</f>
        <v/>
      </c>
      <c r="N2821" s="6">
        <f>HYPERLINK("http://www.eum.go.kr/web/ar/lu/luLandDet.jsp?pnu=3611038025103830006&amp;isNoScr=script&amp;mode=search", "토지이음")</f>
        <v/>
      </c>
      <c r="O2821" s="3" t="inlineStr">
        <is>
          <t>세종땅사랑</t>
        </is>
      </c>
      <c r="P2821" s="4" t="n">
        <v>1</v>
      </c>
      <c r="Q2821" s="4" t="n">
        <v>3320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세로장방</t>
        </is>
      </c>
      <c r="V2821" s="3" t="inlineStr">
        <is>
          <t>세로한면(가)</t>
        </is>
      </c>
    </row>
    <row r="2822">
      <c r="A2822" s="3" t="inlineStr">
        <is>
          <t>전동면 보덕리 387-11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47000</v>
      </c>
      <c r="G2822" s="4" t="n">
        <v>2200</v>
      </c>
      <c r="H2822" s="4" t="n">
        <v>666</v>
      </c>
      <c r="I2822" s="5" t="n">
        <v>70.59999999999999</v>
      </c>
      <c r="J2822" s="5" t="n">
        <v>19.2</v>
      </c>
      <c r="K2822" s="3" t="inlineStr">
        <is>
          <t>대토로 추천</t>
        </is>
      </c>
      <c r="L2822" s="6">
        <f>HYPERLINK("https://fin.land.naver.com/articles/2655705430", "매물Link")</f>
        <v/>
      </c>
      <c r="M2822" s="6">
        <f>HYPERLINK("https://map.naver.com/p/search/전동면 보덕리 387-11", "지도Link")</f>
        <v/>
      </c>
      <c r="N2822" s="6">
        <f>HYPERLINK("http://www.eum.go.kr/web/ar/lu/luLandDet.jsp?pnu=3611038025103870011&amp;isNoScr=script&amp;mode=search", "토지이음")</f>
        <v/>
      </c>
      <c r="O2822" s="3" t="inlineStr">
        <is>
          <t>세종베스트</t>
        </is>
      </c>
      <c r="P2822" s="4" t="n">
        <v>1</v>
      </c>
      <c r="Q2822" s="4" t="n">
        <v>2216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보덕리 산29-10</t>
        </is>
      </c>
      <c r="B2823" s="3" t="inlineStr">
        <is>
          <t>농림지역</t>
        </is>
      </c>
      <c r="C2823" s="3" t="inlineStr">
        <is>
          <t>임야</t>
        </is>
      </c>
      <c r="D2823" s="3" t="inlineStr">
        <is>
          <t>임야</t>
        </is>
      </c>
      <c r="E2823" s="3" t="inlineStr">
        <is>
          <t>매매</t>
        </is>
      </c>
      <c r="F2823" s="4" t="n">
        <v>12000</v>
      </c>
      <c r="G2823" s="4" t="n">
        <v>10001</v>
      </c>
      <c r="H2823" s="4" t="n">
        <v>3025</v>
      </c>
      <c r="I2823" s="5" t="n">
        <v>4</v>
      </c>
      <c r="J2823" s="5" t="n">
        <v>2</v>
      </c>
      <c r="K2823" s="3" t="inlineStr">
        <is>
          <t>nan</t>
        </is>
      </c>
      <c r="L2823" s="6">
        <f>HYPERLINK("https://fin.land.naver.com/articles/2652593987", "매물Link")</f>
        <v/>
      </c>
      <c r="M2823" s="6">
        <f>HYPERLINK("https://map.naver.com/p/search/전동면 보덕리 산29-10", "지도Link")</f>
        <v/>
      </c>
      <c r="N2823" s="6">
        <f>HYPERLINK("http://www.eum.go.kr/web/ar/lu/luLandDet.jsp?pnu=3611038025200290010&amp;isNoScr=script&amp;mode=search", "토지이음")</f>
        <v/>
      </c>
      <c r="O2823" s="3" t="inlineStr">
        <is>
          <t>메이저새롬현대</t>
        </is>
      </c>
      <c r="P2823" s="4" t="n">
        <v>3</v>
      </c>
      <c r="Q2823" s="4" t="n">
        <v>10001</v>
      </c>
      <c r="R2823" s="3" t="inlineStr">
        <is>
          <t>지정되지않음</t>
        </is>
      </c>
      <c r="S2823" s="3" t="inlineStr">
        <is>
          <t>자연림</t>
        </is>
      </c>
      <c r="T2823" s="3" t="inlineStr">
        <is>
          <t>급경사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전동면 보덕리 산50-20</t>
        </is>
      </c>
      <c r="B2824" s="3" t="inlineStr">
        <is>
          <t>계획관리지역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13000</v>
      </c>
      <c r="G2824" s="4" t="n">
        <v>431</v>
      </c>
      <c r="H2824" s="4" t="n">
        <v>130</v>
      </c>
      <c r="I2824" s="5" t="n">
        <v>100</v>
      </c>
      <c r="J2824" s="5" t="n">
        <v>6.4</v>
      </c>
      <c r="K2824" s="3" t="inlineStr">
        <is>
          <t>급매.세종시소액투자토지</t>
        </is>
      </c>
      <c r="L2824" s="6">
        <f>HYPERLINK("https://fin.land.naver.com/articles/2651903153", "매물Link")</f>
        <v/>
      </c>
      <c r="M2824" s="6">
        <f>HYPERLINK("https://map.naver.com/p/search/전동면 보덕리 산50-20", "지도Link")</f>
        <v/>
      </c>
      <c r="N2824" s="6">
        <f>HYPERLINK("http://www.eum.go.kr/web/ar/lu/luLandDet.jsp?pnu=3611038025200500020&amp;isNoScr=script&amp;mode=search", "토지이음")</f>
        <v/>
      </c>
      <c r="O2824" s="3" t="inlineStr">
        <is>
          <t>강아지풀</t>
        </is>
      </c>
      <c r="P2824" s="4" t="n">
        <v>1</v>
      </c>
      <c r="Q2824" s="4" t="n">
        <v>431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전동면 봉대리 160-1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50480</v>
      </c>
      <c r="G2825" s="4" t="n">
        <v>4172</v>
      </c>
      <c r="H2825" s="4" t="n">
        <v>1262</v>
      </c>
      <c r="I2825" s="5" t="n">
        <v>40</v>
      </c>
      <c r="J2825" s="5" t="n">
        <v>14.2</v>
      </c>
      <c r="K2825" s="3" t="inlineStr">
        <is>
          <t>총4필지, 대토추천 답과 복숭아농사로 사용중, 국유리 현황도로 접</t>
        </is>
      </c>
      <c r="L2825" s="6">
        <f>HYPERLINK("https://fin.land.naver.com/articles/2652047844", "매물Link")</f>
        <v/>
      </c>
      <c r="M2825" s="6">
        <f>HYPERLINK("https://map.naver.com/p/search/전동면 봉대리 160-1", "지도Link")</f>
        <v/>
      </c>
      <c r="N2825" s="6">
        <f>HYPERLINK("http://www.eum.go.kr/web/ar/lu/luLandDet.jsp?pnu=3611038022101600001&amp;isNoScr=script&amp;mode=search",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1524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봉대리 191</t>
        </is>
      </c>
      <c r="B2826" s="3" t="inlineStr">
        <is>
          <t>생산관리지역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120000</v>
      </c>
      <c r="G2826" s="4" t="n">
        <v>8046</v>
      </c>
      <c r="H2826" s="4" t="n">
        <v>2434</v>
      </c>
      <c r="I2826" s="5" t="n">
        <v>49.3</v>
      </c>
      <c r="J2826" s="5" t="n">
        <v>14.1</v>
      </c>
      <c r="K2826" s="3" t="inlineStr">
        <is>
          <t>생활도로 낀 모양좋은 관리지역 토지매매</t>
        </is>
      </c>
      <c r="L2826" s="6">
        <f>HYPERLINK("https://fin.land.naver.com/articles/2653195537", "매물Link")</f>
        <v/>
      </c>
      <c r="M2826" s="6">
        <f>HYPERLINK("https://map.naver.com/p/search/전동면 봉대리 191", "지도Link")</f>
        <v/>
      </c>
      <c r="N2826" s="6">
        <f>HYPERLINK("http://www.eum.go.kr/web/ar/lu/luLandDet.jsp?pnu=3611038022101910000&amp;isNoScr=script&amp;mode=search", "토지이음")</f>
        <v/>
      </c>
      <c r="O2826" s="3" t="inlineStr">
        <is>
          <t>THE행복</t>
        </is>
      </c>
      <c r="P2826" s="4" t="n">
        <v>1</v>
      </c>
      <c r="Q2826" s="4" t="n">
        <v>8046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봉대리 194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23000</v>
      </c>
      <c r="G2827" s="4" t="n">
        <v>2016</v>
      </c>
      <c r="H2827" s="4" t="n">
        <v>610</v>
      </c>
      <c r="I2827" s="5" t="n">
        <v>37.7</v>
      </c>
      <c r="J2827" s="5" t="n">
        <v>14.1</v>
      </c>
      <c r="K2827" s="3" t="inlineStr">
        <is>
          <t>건축가능한 남향토지</t>
        </is>
      </c>
      <c r="L2827" s="6">
        <f>HYPERLINK("https://fin.land.naver.com/articles/2651733838", "매물Link")</f>
        <v/>
      </c>
      <c r="M2827" s="6">
        <f>HYPERLINK("https://map.naver.com/p/search/전동면 봉대리 194", "지도Link")</f>
        <v/>
      </c>
      <c r="N2827" s="6">
        <f>HYPERLINK("http://www.eum.go.kr/web/ar/lu/luLandDet.jsp?pnu=3611038022101940000&amp;isNoScr=script&amp;mode=search", "토지이음")</f>
        <v/>
      </c>
      <c r="O2827" s="3" t="inlineStr">
        <is>
          <t>THE행복</t>
        </is>
      </c>
      <c r="P2827" s="4" t="n">
        <v>1</v>
      </c>
      <c r="Q2827" s="4" t="n">
        <v>1246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전동면 봉대리 212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8500</v>
      </c>
      <c r="G2828" s="4" t="n">
        <v>417</v>
      </c>
      <c r="H2828" s="4" t="n">
        <v>126</v>
      </c>
      <c r="I2828" s="5" t="n">
        <v>67.5</v>
      </c>
      <c r="J2828" s="5" t="n">
        <v>19</v>
      </c>
      <c r="K2828" s="3" t="inlineStr">
        <is>
          <t>소액 투자 추천</t>
        </is>
      </c>
      <c r="L2828" s="6">
        <f>HYPERLINK("https://fin.land.naver.com/articles/2651936415", "매물Link")</f>
        <v/>
      </c>
      <c r="M2828" s="6">
        <f>HYPERLINK("https://map.naver.com/p/search/전동면 봉대리 212", "지도Link")</f>
        <v/>
      </c>
      <c r="N2828" s="6">
        <f>HYPERLINK("http://www.eum.go.kr/web/ar/lu/luLandDet.jsp?pnu=3611038022102120000&amp;isNoScr=script&amp;mode=search", "토지이음")</f>
        <v/>
      </c>
      <c r="O2828" s="3" t="inlineStr">
        <is>
          <t>강아지풀</t>
        </is>
      </c>
      <c r="P2828" s="4" t="n">
        <v>1</v>
      </c>
      <c r="Q2828" s="4" t="n">
        <v>417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세로각지(가)</t>
        </is>
      </c>
    </row>
    <row r="2829">
      <c r="A2829" s="3" t="inlineStr">
        <is>
          <t>전동면 석곡리 149-3</t>
        </is>
      </c>
      <c r="B2829" s="3" t="inlineStr">
        <is>
          <t>생산관리지역</t>
        </is>
      </c>
      <c r="C2829" s="3" t="inlineStr">
        <is>
          <t>과수원</t>
        </is>
      </c>
      <c r="D2829" s="3" t="inlineStr">
        <is>
          <t>과수원</t>
        </is>
      </c>
      <c r="E2829" s="3" t="inlineStr">
        <is>
          <t>매매</t>
        </is>
      </c>
      <c r="F2829" s="4" t="n">
        <v>8800</v>
      </c>
      <c r="G2829" s="4" t="n">
        <v>482</v>
      </c>
      <c r="H2829" s="4" t="n">
        <v>146</v>
      </c>
      <c r="I2829" s="5" t="n">
        <v>60.3</v>
      </c>
      <c r="J2829" s="5" t="n">
        <v>16.4</v>
      </c>
      <c r="K2829" s="3" t="inlineStr">
        <is>
          <t>전동면 석곡리 토지 급매</t>
        </is>
      </c>
      <c r="L2829" s="6">
        <f>HYPERLINK("https://fin.land.naver.com/articles/2653950328", "매물Link")</f>
        <v/>
      </c>
      <c r="M2829" s="6">
        <f>HYPERLINK("https://map.naver.com/p/search/전동면 석곡리 149-3", "지도Link")</f>
        <v/>
      </c>
      <c r="N2829" s="6">
        <f>HYPERLINK("http://www.eum.go.kr/web/ar/lu/luLandDet.jsp?pnu=3611038024101490003&amp;isNoScr=script&amp;mode=search", "토지이음")</f>
        <v/>
      </c>
      <c r="O2829" s="3" t="inlineStr">
        <is>
          <t>KB세종</t>
        </is>
      </c>
      <c r="P2829" s="4" t="n">
        <v>1</v>
      </c>
      <c r="Q2829" s="4" t="n">
        <v>482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석곡리 149-4</t>
        </is>
      </c>
      <c r="B2830" s="3" t="inlineStr">
        <is>
          <t>생산관리지역</t>
        </is>
      </c>
      <c r="C2830" s="3" t="inlineStr">
        <is>
          <t>과수원</t>
        </is>
      </c>
      <c r="D2830" s="3" t="inlineStr">
        <is>
          <t>과수원</t>
        </is>
      </c>
      <c r="E2830" s="3" t="inlineStr">
        <is>
          <t>매매</t>
        </is>
      </c>
      <c r="F2830" s="4" t="n">
        <v>17500</v>
      </c>
      <c r="G2830" s="4" t="n">
        <v>962</v>
      </c>
      <c r="H2830" s="4" t="n">
        <v>291</v>
      </c>
      <c r="I2830" s="5" t="n">
        <v>60.1</v>
      </c>
      <c r="J2830" s="5" t="n">
        <v>16.4</v>
      </c>
      <c r="K2830" s="3" t="inlineStr">
        <is>
          <t>세종시 위치 좋은 곳 저렴한 토지</t>
        </is>
      </c>
      <c r="L2830" s="6">
        <f>HYPERLINK("https://fin.land.naver.com/articles/2655896005", "매물Link")</f>
        <v/>
      </c>
      <c r="M2830" s="6">
        <f>HYPERLINK("https://map.naver.com/p/search/전동면 석곡리 149-4", "지도Link")</f>
        <v/>
      </c>
      <c r="N2830" s="6">
        <f>HYPERLINK("http://www.eum.go.kr/web/ar/lu/luLandDet.jsp?pnu=3611038024101490004&amp;isNoScr=script&amp;mode=search", "토지이음")</f>
        <v/>
      </c>
      <c r="O2830" s="3" t="inlineStr">
        <is>
          <t>KB세종</t>
        </is>
      </c>
      <c r="P2830" s="4" t="n">
        <v>1</v>
      </c>
      <c r="Q2830" s="4" t="n">
        <v>962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석곡리 37-4</t>
        </is>
      </c>
      <c r="B2831" s="3" t="inlineStr">
        <is>
          <t>농림지역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57200</v>
      </c>
      <c r="G2831" s="4" t="n">
        <v>1891</v>
      </c>
      <c r="H2831" s="4" t="n">
        <v>572</v>
      </c>
      <c r="I2831" s="5" t="n">
        <v>100</v>
      </c>
      <c r="J2831" s="5" t="n">
        <v>15</v>
      </c>
      <c r="K2831" s="3" t="inlineStr">
        <is>
          <t>농림지역. 직사각형 농업진흥구역 . 도로인접</t>
        </is>
      </c>
      <c r="L2831" s="6">
        <f>HYPERLINK("https://fin.land.naver.com/articles/2654379529", "매물Link")</f>
        <v/>
      </c>
      <c r="M2831" s="6">
        <f>HYPERLINK("https://map.naver.com/p/search/전동면 석곡리 37-4", "지도Link")</f>
        <v/>
      </c>
      <c r="N2831" s="6">
        <f>HYPERLINK("http://www.eum.go.kr/web/ar/lu/luLandDet.jsp?pnu=3611038024100370004&amp;isNoScr=script&amp;mode=search", "토지이음")</f>
        <v/>
      </c>
      <c r="O2831" s="3" t="inlineStr">
        <is>
          <t>보람최고</t>
        </is>
      </c>
      <c r="P2831" s="4" t="n">
        <v>1</v>
      </c>
      <c r="Q2831" s="4" t="n">
        <v>1891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세로장방</t>
        </is>
      </c>
      <c r="V2831" s="3" t="inlineStr">
        <is>
          <t>세로한면(가)</t>
        </is>
      </c>
    </row>
    <row r="2832">
      <c r="A2832" s="3" t="inlineStr">
        <is>
          <t>전동면 석곡리 42-2</t>
        </is>
      </c>
      <c r="B2832" s="3" t="inlineStr">
        <is>
          <t>농림지역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21000</v>
      </c>
      <c r="G2832" s="4" t="n">
        <v>1150</v>
      </c>
      <c r="H2832" s="4" t="n">
        <v>348</v>
      </c>
      <c r="I2832" s="5" t="n">
        <v>60.3</v>
      </c>
      <c r="J2832" s="5" t="n">
        <v>15</v>
      </c>
      <c r="K2832" s="3" t="inlineStr">
        <is>
          <t>대토용 농지</t>
        </is>
      </c>
      <c r="L2832" s="6">
        <f>HYPERLINK("https://fin.land.naver.com/articles/2656218663", "매물Link")</f>
        <v/>
      </c>
      <c r="M2832" s="6">
        <f>HYPERLINK("https://map.naver.com/p/search/전동면 석곡리 42-2", "지도Link")</f>
        <v/>
      </c>
      <c r="N2832" s="6">
        <f>HYPERLINK("http://www.eum.go.kr/web/ar/lu/luLandDet.jsp?pnu=3611038024100420002&amp;isNoScr=script&amp;mode=search",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1152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세로장방</t>
        </is>
      </c>
      <c r="V2832" s="3" t="inlineStr">
        <is>
          <t>세로한면(가)</t>
        </is>
      </c>
    </row>
    <row r="2833">
      <c r="A2833" s="3" t="inlineStr">
        <is>
          <t>전동면 석곡리 44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40000</v>
      </c>
      <c r="G2833" s="4" t="n">
        <v>1976</v>
      </c>
      <c r="H2833" s="4" t="n">
        <v>598</v>
      </c>
      <c r="I2833" s="5" t="n">
        <v>66.90000000000001</v>
      </c>
      <c r="J2833" s="5" t="n">
        <v>15.1</v>
      </c>
      <c r="K2833" s="3" t="inlineStr">
        <is>
          <t>대토용 농지 및 장기 투자용으로 적합한 포장도로에 접한 답입니다</t>
        </is>
      </c>
      <c r="L2833" s="6">
        <f>HYPERLINK("https://fin.land.naver.com/articles/2656514299", "매물Link")</f>
        <v/>
      </c>
      <c r="M2833" s="6">
        <f>HYPERLINK("https://map.naver.com/p/search/전동면 석곡리 44", "지도Link")</f>
        <v/>
      </c>
      <c r="N2833" s="6">
        <f>HYPERLINK("http://www.eum.go.kr/web/ar/lu/luLandDet.jsp?pnu=3611038024100440000&amp;isNoScr=script&amp;mode=search", "토지이음")</f>
        <v/>
      </c>
      <c r="O2833" s="3" t="inlineStr">
        <is>
          <t>스마일세종</t>
        </is>
      </c>
      <c r="P2833" s="4" t="n">
        <v>6</v>
      </c>
      <c r="Q2833" s="4" t="n">
        <v>1976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전동면 석곡리 산4-1</t>
        </is>
      </c>
      <c r="B2834" s="3" t="inlineStr">
        <is>
          <t>농림지역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393000</v>
      </c>
      <c r="G2834" s="4" t="n">
        <v>10826</v>
      </c>
      <c r="H2834" s="4" t="n">
        <v>3275</v>
      </c>
      <c r="I2834" s="5" t="n">
        <v>120</v>
      </c>
      <c r="J2834" s="5" t="n">
        <v>2.1</v>
      </c>
      <c r="K2834" s="3" t="inlineStr">
        <is>
          <t>석곡리임야 도로접 세종벤처밸리산단옆 미래가치기대</t>
        </is>
      </c>
      <c r="L2834" s="6">
        <f>HYPERLINK("https://fin.land.naver.com/articles/2656199760", "매물Link")</f>
        <v/>
      </c>
      <c r="M2834" s="6">
        <f>HYPERLINK("https://map.naver.com/p/search/전동면 석곡리 산4-1", "지도Link")</f>
        <v/>
      </c>
      <c r="N2834" s="6">
        <f>HYPERLINK("http://www.eum.go.kr/web/ar/lu/luLandDet.jsp?pnu=3611038024200040001&amp;isNoScr=script&amp;mode=search", "토지이음")</f>
        <v/>
      </c>
      <c r="O2834" s="3" t="inlineStr">
        <is>
          <t>마수영</t>
        </is>
      </c>
      <c r="P2834" s="4" t="n">
        <v>2</v>
      </c>
      <c r="Q2834" s="4" t="n">
        <v>10826</v>
      </c>
      <c r="R2834" s="3" t="inlineStr">
        <is>
          <t>보전관리지역</t>
        </is>
      </c>
      <c r="S2834" s="3" t="inlineStr">
        <is>
          <t>자연림</t>
        </is>
      </c>
      <c r="T2834" s="3" t="inlineStr">
        <is>
          <t>급경사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전동면 송곡리 108-6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34000</v>
      </c>
      <c r="G2835" s="4" t="n">
        <v>871</v>
      </c>
      <c r="H2835" s="4" t="n">
        <v>263</v>
      </c>
      <c r="I2835" s="5" t="n">
        <v>129.3</v>
      </c>
      <c r="J2835" s="5" t="n">
        <v>20.6</v>
      </c>
      <c r="K2835" s="3" t="inlineStr">
        <is>
          <t>2차선 도로옆 접근성 좋고 활용도 높은 송곡리 토지</t>
        </is>
      </c>
      <c r="L2835" s="6">
        <f>HYPERLINK("https://fin.land.naver.com/articles/2655581227", "매물Link")</f>
        <v/>
      </c>
      <c r="M2835" s="6">
        <f>HYPERLINK("https://map.naver.com/p/search/전동면 송곡리 108-6", "지도Link")</f>
        <v/>
      </c>
      <c r="N2835" s="6">
        <f>HYPERLINK("http://www.eum.go.kr/web/ar/lu/luLandDet.jsp?pnu=3611038026101080006&amp;isNoScr=script&amp;mode=search", "토지이음")</f>
        <v/>
      </c>
      <c r="O2835" s="3" t="inlineStr">
        <is>
          <t>새롬삼둥이</t>
        </is>
      </c>
      <c r="P2835" s="4" t="n">
        <v>1</v>
      </c>
      <c r="Q2835" s="4" t="n">
        <v>871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전동면 송곡리 116-15</t>
        </is>
      </c>
      <c r="B2836" s="3" t="inlineStr">
        <is>
          <t>보전관리지역</t>
        </is>
      </c>
      <c r="C2836" s="3" t="inlineStr">
        <is>
          <t>과수원</t>
        </is>
      </c>
      <c r="D2836" s="3" t="inlineStr">
        <is>
          <t>과수원</t>
        </is>
      </c>
      <c r="E2836" s="3" t="inlineStr">
        <is>
          <t>매매</t>
        </is>
      </c>
      <c r="F2836" s="4" t="n">
        <v>260000</v>
      </c>
      <c r="G2836" s="4" t="n">
        <v>21695</v>
      </c>
      <c r="H2836" s="4" t="n">
        <v>6563</v>
      </c>
      <c r="I2836" s="5" t="n">
        <v>39.6</v>
      </c>
      <c r="J2836" s="5" t="n">
        <v>17.9</v>
      </c>
      <c r="K2836" s="3" t="inlineStr">
        <is>
          <t>송곡리 저렴토지, 비닐하우스,휴게공간 등 토지관리 우수</t>
        </is>
      </c>
      <c r="L2836" s="6">
        <f>HYPERLINK("https://fin.land.naver.com/articles/2654799798", "매물Link")</f>
        <v/>
      </c>
      <c r="M2836" s="6">
        <f>HYPERLINK("https://map.naver.com/p/search/전동면 송곡리 116-15", "지도Link")</f>
        <v/>
      </c>
      <c r="N2836" s="6">
        <f>HYPERLINK("http://www.eum.go.kr/web/ar/lu/luLandDet.jsp?pnu=3611038026101160015&amp;isNoScr=script&amp;mode=search", "토지이음")</f>
        <v/>
      </c>
      <c r="O2836" s="3" t="inlineStr">
        <is>
          <t>다옴</t>
        </is>
      </c>
      <c r="P2836" s="4" t="n">
        <v>1</v>
      </c>
      <c r="Q2836" s="4" t="n">
        <v>3783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전동면 송곡리 139-2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55000</v>
      </c>
      <c r="G2837" s="4" t="n">
        <v>1053</v>
      </c>
      <c r="H2837" s="4" t="n">
        <v>319</v>
      </c>
      <c r="I2837" s="5" t="n">
        <v>172.4</v>
      </c>
      <c r="J2837" s="5" t="n">
        <v>62.9</v>
      </c>
      <c r="K2837" s="3" t="inlineStr">
        <is>
          <t>송곡리 2차선 도로접 현재 단독주택있음</t>
        </is>
      </c>
      <c r="L2837" s="6">
        <f>HYPERLINK("https://fin.land.naver.com/articles/2651708608", "매물Link")</f>
        <v/>
      </c>
      <c r="M2837" s="6">
        <f>HYPERLINK("https://map.naver.com/p/search/전동면 송곡리 139-2", "지도Link")</f>
        <v/>
      </c>
      <c r="N2837" s="6">
        <f>HYPERLINK("http://www.eum.go.kr/web/ar/lu/luLandDet.jsp?pnu=3611038026101390002&amp;isNoScr=script&amp;mode=search", "토지이음")</f>
        <v/>
      </c>
      <c r="O2837" s="3" t="inlineStr">
        <is>
          <t>OK수</t>
        </is>
      </c>
      <c r="P2837" s="4" t="n">
        <v>1</v>
      </c>
      <c r="Q2837" s="4" t="n">
        <v>1053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사다리형</t>
        </is>
      </c>
      <c r="V2837" s="3" t="inlineStr">
        <is>
          <t>소로한면</t>
        </is>
      </c>
    </row>
    <row r="2838">
      <c r="A2838" s="3" t="inlineStr">
        <is>
          <t>전동면 송곡리 149-2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15000</v>
      </c>
      <c r="G2838" s="4" t="n">
        <v>252</v>
      </c>
      <c r="H2838" s="4" t="n">
        <v>76</v>
      </c>
      <c r="I2838" s="5" t="n">
        <v>197.4</v>
      </c>
      <c r="J2838" s="5" t="n">
        <v>48.7</v>
      </c>
      <c r="K2838" s="3" t="inlineStr">
        <is>
          <t>계획관리 대지이며, 미등기건물 시골주택있음,남향,소액투자추천</t>
        </is>
      </c>
      <c r="L2838" s="6">
        <f>HYPERLINK("https://fin.land.naver.com/articles/2655744280", "매물Link")</f>
        <v/>
      </c>
      <c r="M2838" s="6">
        <f>HYPERLINK("https://map.naver.com/p/search/전동면 송곡리 149-2", "지도Link")</f>
        <v/>
      </c>
      <c r="N2838" s="6">
        <f>HYPERLINK("http://www.eum.go.kr/web/ar/lu/luLandDet.jsp?pnu=3611038026101490002&amp;isNoScr=script&amp;mode=search", "토지이음")</f>
        <v/>
      </c>
      <c r="O2838" s="3" t="inlineStr">
        <is>
          <t>신안무소</t>
        </is>
      </c>
      <c r="P2838" s="4" t="n">
        <v>1</v>
      </c>
      <c r="Q2838" s="4" t="n">
        <v>252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전동면 송곡리 169-4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16000</v>
      </c>
      <c r="G2839" s="4" t="n">
        <v>307</v>
      </c>
      <c r="H2839" s="4" t="n">
        <v>93</v>
      </c>
      <c r="I2839" s="5" t="n">
        <v>172</v>
      </c>
      <c r="J2839" s="5" t="n">
        <v>36</v>
      </c>
      <c r="K2839" s="3" t="inlineStr">
        <is>
          <t>계획관리 나대지, 소액투자추천,단독주택부지추천,오송KTX역 차량10분</t>
        </is>
      </c>
      <c r="L2839" s="6">
        <f>HYPERLINK("https://fin.land.naver.com/articles/2656648726", "매물Link")</f>
        <v/>
      </c>
      <c r="M2839" s="6">
        <f>HYPERLINK("https://map.naver.com/p/search/전동면 송곡리 169-4", "지도Link")</f>
        <v/>
      </c>
      <c r="N2839" s="6">
        <f>HYPERLINK("http://www.eum.go.kr/web/ar/lu/luLandDet.jsp?pnu=3611038026101690004&amp;isNoScr=script&amp;mode=search", "토지이음")</f>
        <v/>
      </c>
      <c r="O2839" s="3" t="inlineStr">
        <is>
          <t>신안무소</t>
        </is>
      </c>
      <c r="P2839" s="4" t="n">
        <v>1</v>
      </c>
      <c r="Q2839" s="4" t="n">
        <v>307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전동면 송곡리 182-4</t>
        </is>
      </c>
      <c r="B2840" s="3" t="inlineStr">
        <is>
          <t>계획관리지역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105800</v>
      </c>
      <c r="G2840" s="4" t="n">
        <v>3888</v>
      </c>
      <c r="H2840" s="4" t="n">
        <v>1176</v>
      </c>
      <c r="I2840" s="5" t="n">
        <v>90</v>
      </c>
      <c r="J2840" s="5" t="n">
        <v>26.9</v>
      </c>
      <c r="K2840" s="3" t="inlineStr">
        <is>
          <t>계획관리지역 농지입니다. 전원주택,창고,시설등 조건에 따라 쓰임새 다양</t>
        </is>
      </c>
      <c r="L2840" s="6">
        <f>HYPERLINK("https://fin.land.naver.com/articles/2654351345", "매물Link")</f>
        <v/>
      </c>
      <c r="M2840" s="6">
        <f>HYPERLINK("https://map.naver.com/p/search/전동면 송곡리 182-4", "지도Link")</f>
        <v/>
      </c>
      <c r="N2840" s="6">
        <f>HYPERLINK("http://www.eum.go.kr/web/ar/lu/luLandDet.jsp?pnu=3611038026101820004&amp;isNoScr=script&amp;mode=search", "토지이음")</f>
        <v/>
      </c>
      <c r="O2840" s="3" t="inlineStr">
        <is>
          <t>신안무소</t>
        </is>
      </c>
      <c r="P2840" s="4" t="n">
        <v>1</v>
      </c>
      <c r="Q2840" s="4" t="n">
        <v>3425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전동면 송곡리 199-58</t>
        </is>
      </c>
      <c r="B2841" s="3" t="inlineStr">
        <is>
          <t>보전관리지역</t>
        </is>
      </c>
      <c r="C2841" s="3" t="inlineStr">
        <is>
          <t>임야</t>
        </is>
      </c>
      <c r="D2841" s="3" t="inlineStr">
        <is>
          <t>임야</t>
        </is>
      </c>
      <c r="E2841" s="3" t="inlineStr">
        <is>
          <t>매매</t>
        </is>
      </c>
      <c r="F2841" s="4" t="n">
        <v>18000</v>
      </c>
      <c r="G2841" s="4" t="n">
        <v>600</v>
      </c>
      <c r="H2841" s="4" t="n">
        <v>182</v>
      </c>
      <c r="I2841" s="5" t="n">
        <v>98.90000000000001</v>
      </c>
      <c r="J2841" s="5" t="n">
        <v>14</v>
      </c>
      <c r="K2841" s="3" t="inlineStr">
        <is>
          <t>급매. 개발 완료된 전원주택지</t>
        </is>
      </c>
      <c r="L2841" s="6">
        <f>HYPERLINK("https://fin.land.naver.com/articles/2655762123", "매물Link")</f>
        <v/>
      </c>
      <c r="M2841" s="6">
        <f>HYPERLINK("https://map.naver.com/p/search/전동면 송곡리 199-58", "지도Link")</f>
        <v/>
      </c>
      <c r="N2841" s="6">
        <f>HYPERLINK("http://www.eum.go.kr/web/ar/lu/luLandDet.jsp?pnu=3611038026101990058&amp;isNoScr=script&amp;mode=search", "토지이음")</f>
        <v/>
      </c>
      <c r="O2841" s="3" t="inlineStr">
        <is>
          <t>세종소담114</t>
        </is>
      </c>
      <c r="P2841" s="4" t="n">
        <v>1</v>
      </c>
      <c r="Q2841" s="4" t="n">
        <v>600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세로장방</t>
        </is>
      </c>
      <c r="V2841" s="3" t="inlineStr">
        <is>
          <t>맹지</t>
        </is>
      </c>
    </row>
    <row r="2842">
      <c r="A2842" s="3" t="inlineStr">
        <is>
          <t>전동면 송곡리 199-59</t>
        </is>
      </c>
      <c r="B2842" s="3" t="inlineStr">
        <is>
          <t>보전관리지역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15000</v>
      </c>
      <c r="G2842" s="4" t="n">
        <v>600</v>
      </c>
      <c r="H2842" s="4" t="n">
        <v>182</v>
      </c>
      <c r="I2842" s="5" t="n">
        <v>82.40000000000001</v>
      </c>
      <c r="J2842" s="5" t="n">
        <v>14</v>
      </c>
      <c r="K2842" s="3" t="inlineStr">
        <is>
          <t>급매추천, 개발 완료된 전원주택지</t>
        </is>
      </c>
      <c r="L2842" s="6">
        <f>HYPERLINK("https://fin.land.naver.com/articles/2655762278", "매물Link")</f>
        <v/>
      </c>
      <c r="M2842" s="6">
        <f>HYPERLINK("https://map.naver.com/p/search/전동면 송곡리 199-59", "지도Link")</f>
        <v/>
      </c>
      <c r="N2842" s="6">
        <f>HYPERLINK("http://www.eum.go.kr/web/ar/lu/luLandDet.jsp?pnu=3611038026101990059&amp;isNoScr=script&amp;mode=search", "토지이음")</f>
        <v/>
      </c>
      <c r="O2842" s="3" t="inlineStr">
        <is>
          <t>세종소담114</t>
        </is>
      </c>
      <c r="P2842" s="4" t="n">
        <v>1</v>
      </c>
      <c r="Q2842" s="4" t="n">
        <v>600</v>
      </c>
      <c r="R2842" s="3" t="inlineStr">
        <is>
          <t>지정되지않음</t>
        </is>
      </c>
      <c r="S2842" s="3" t="inlineStr">
        <is>
          <t>전기타</t>
        </is>
      </c>
      <c r="T2842" s="3" t="inlineStr">
        <is>
          <t>완경사</t>
        </is>
      </c>
      <c r="U2842" s="3" t="inlineStr">
        <is>
          <t>세로장방</t>
        </is>
      </c>
      <c r="V2842" s="3" t="inlineStr">
        <is>
          <t>맹지</t>
        </is>
      </c>
    </row>
    <row r="2843">
      <c r="A2843" s="3" t="inlineStr">
        <is>
          <t>전동면 송곡리 199-74</t>
        </is>
      </c>
      <c r="B2843" s="3" t="inlineStr">
        <is>
          <t>보전관리지역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15000</v>
      </c>
      <c r="G2843" s="4" t="n">
        <v>620</v>
      </c>
      <c r="H2843" s="4" t="n">
        <v>188</v>
      </c>
      <c r="I2843" s="5" t="n">
        <v>79.8</v>
      </c>
      <c r="J2843" s="5" t="n">
        <v>4.1</v>
      </c>
      <c r="K2843" s="3" t="inlineStr">
        <is>
          <t>송곡리 조성 마친 반듯한 전원주택지. 여러 필지 매매도 가능해요.</t>
        </is>
      </c>
      <c r="L2843" s="6">
        <f>HYPERLINK("https://fin.land.naver.com/articles/2655448658", "매물Link")</f>
        <v/>
      </c>
      <c r="M2843" s="6">
        <f>HYPERLINK("https://map.naver.com/p/search/전동면 송곡리 199-74", "지도Link")</f>
        <v/>
      </c>
      <c r="N2843" s="6">
        <f>HYPERLINK("http://www.eum.go.kr/web/ar/lu/luLandDet.jsp?pnu=3611038026101990074&amp;isNoScr=script&amp;mode=search", "토지이음")</f>
        <v/>
      </c>
      <c r="O2843" s="3" t="inlineStr">
        <is>
          <t>코뿔소 합동</t>
        </is>
      </c>
      <c r="P2843" s="4" t="n">
        <v>1</v>
      </c>
      <c r="Q2843" s="4" t="n">
        <v>2480</v>
      </c>
      <c r="R2843" s="3" t="inlineStr">
        <is>
          <t>지정되지않음</t>
        </is>
      </c>
      <c r="S2843" s="3" t="inlineStr">
        <is>
          <t>자연림</t>
        </is>
      </c>
      <c r="T2843" s="3" t="inlineStr">
        <is>
          <t>급경사</t>
        </is>
      </c>
      <c r="U2843" s="3" t="inlineStr">
        <is>
          <t>사다리형</t>
        </is>
      </c>
      <c r="V2843" s="3" t="inlineStr">
        <is>
          <t>맹지</t>
        </is>
      </c>
    </row>
    <row r="2844">
      <c r="A2844" s="3" t="inlineStr">
        <is>
          <t>전동면 송곡리 35-5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51000</v>
      </c>
      <c r="G2844" s="4" t="n">
        <v>700</v>
      </c>
      <c r="H2844" s="4" t="n">
        <v>212</v>
      </c>
      <c r="I2844" s="5" t="n">
        <v>240.6</v>
      </c>
      <c r="J2844" s="5" t="n">
        <v>28.5</v>
      </c>
      <c r="K2844" s="3" t="inlineStr">
        <is>
          <t>nan</t>
        </is>
      </c>
      <c r="L2844" s="6">
        <f>HYPERLINK("https://fin.land.naver.com/articles/2653157710", "매물Link")</f>
        <v/>
      </c>
      <c r="M2844" s="6">
        <f>HYPERLINK("https://map.naver.com/p/search/전동면 송곡리 35-5", "지도Link")</f>
        <v/>
      </c>
      <c r="N2844" s="6">
        <f>HYPERLINK("http://www.eum.go.kr/web/ar/lu/luLandDet.jsp?pnu=3611038026100350005&amp;isNoScr=script&amp;mode=search", "토지이음")</f>
        <v/>
      </c>
      <c r="O2844" s="3" t="inlineStr">
        <is>
          <t>KB세종</t>
        </is>
      </c>
      <c r="P2844" s="4" t="n">
        <v>1</v>
      </c>
      <c r="Q2844" s="4" t="n">
        <v>700</v>
      </c>
      <c r="R2844" s="3" t="inlineStr">
        <is>
          <t>지정되지않음</t>
        </is>
      </c>
      <c r="S2844" s="3" t="inlineStr">
        <is>
          <t>전기타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세로한면(가)</t>
        </is>
      </c>
    </row>
    <row r="2845">
      <c r="A2845" s="3" t="inlineStr">
        <is>
          <t>전동면 송곡리 68-5</t>
        </is>
      </c>
      <c r="B2845" s="3" t="inlineStr">
        <is>
          <t>생산관리지역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16000</v>
      </c>
      <c r="G2845" s="4" t="n">
        <v>679</v>
      </c>
      <c r="H2845" s="4" t="n">
        <v>205</v>
      </c>
      <c r="I2845" s="5" t="n">
        <v>78</v>
      </c>
      <c r="J2845" s="5" t="n">
        <v>21.7</v>
      </c>
      <c r="K2845" s="3" t="inlineStr">
        <is>
          <t>주택용으로 너무 좋아요</t>
        </is>
      </c>
      <c r="L2845" s="6">
        <f>HYPERLINK("https://fin.land.naver.com/articles/2654846610", "매물Link")</f>
        <v/>
      </c>
      <c r="M2845" s="6">
        <f>HYPERLINK("https://map.naver.com/p/search/전동면 송곡리 68-5", "지도Link")</f>
        <v/>
      </c>
      <c r="N2845" s="6">
        <f>HYPERLINK("http://www.eum.go.kr/web/ar/lu/luLandDet.jsp?pnu=3611038026100680005&amp;isNoScr=script&amp;mode=search", "토지이음")</f>
        <v/>
      </c>
      <c r="O2845" s="3" t="inlineStr">
        <is>
          <t>세종리츠</t>
        </is>
      </c>
      <c r="P2845" s="4" t="n">
        <v>2</v>
      </c>
      <c r="Q2845" s="4" t="n">
        <v>679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전동면 송곡리 9</t>
        </is>
      </c>
      <c r="B2846" s="3" t="inlineStr">
        <is>
          <t>계획관리지역</t>
        </is>
      </c>
      <c r="C2846" s="3" t="inlineStr">
        <is>
          <t>목장용지</t>
        </is>
      </c>
      <c r="D2846" s="3" t="inlineStr">
        <is>
          <t>목장용지</t>
        </is>
      </c>
      <c r="E2846" s="3" t="inlineStr">
        <is>
          <t>매매</t>
        </is>
      </c>
      <c r="F2846" s="4" t="n">
        <v>30000</v>
      </c>
      <c r="G2846" s="4" t="n">
        <v>1255</v>
      </c>
      <c r="H2846" s="4" t="n">
        <v>380</v>
      </c>
      <c r="I2846" s="5" t="n">
        <v>78.90000000000001</v>
      </c>
      <c r="J2846" s="5" t="n">
        <v>22.2</v>
      </c>
      <c r="K2846" s="3" t="inlineStr">
        <is>
          <t>도로접한 계획관리토지,개발,주택,창고부지</t>
        </is>
      </c>
      <c r="L2846" s="6">
        <f>HYPERLINK("https://fin.land.naver.com/articles/2650859608", "매물Link")</f>
        <v/>
      </c>
      <c r="M2846" s="6">
        <f>HYPERLINK("https://map.naver.com/p/search/전동면 송곡리 9", "지도Link")</f>
        <v/>
      </c>
      <c r="N2846" s="6">
        <f>HYPERLINK("http://www.eum.go.kr/web/ar/lu/luLandDet.jsp?pnu=3611038026100090000&amp;isNoScr=script&amp;mode=search",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1255</v>
      </c>
      <c r="R2846" s="3" t="inlineStr">
        <is>
          <t>지정되지않음</t>
        </is>
      </c>
      <c r="S2846" s="3" t="inlineStr">
        <is>
          <t>전기타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전동면 송곡리 90-2</t>
        </is>
      </c>
      <c r="B2847" s="3" t="inlineStr">
        <is>
          <t>생산관리지역</t>
        </is>
      </c>
      <c r="C2847" s="3" t="inlineStr">
        <is>
          <t>과수원</t>
        </is>
      </c>
      <c r="D2847" s="3" t="inlineStr">
        <is>
          <t>과수원</t>
        </is>
      </c>
      <c r="E2847" s="3" t="inlineStr">
        <is>
          <t>매매</t>
        </is>
      </c>
      <c r="F2847" s="4" t="n">
        <v>33000</v>
      </c>
      <c r="G2847" s="4" t="n">
        <v>1059</v>
      </c>
      <c r="H2847" s="4" t="n">
        <v>320</v>
      </c>
      <c r="I2847" s="5" t="n">
        <v>103.1</v>
      </c>
      <c r="J2847" s="5" t="n">
        <v>26.1</v>
      </c>
      <c r="K2847" s="3" t="inlineStr">
        <is>
          <t>nan</t>
        </is>
      </c>
      <c r="L2847" s="6">
        <f>HYPERLINK("https://fin.land.naver.com/articles/2655744307", "매물Link")</f>
        <v/>
      </c>
      <c r="M2847" s="6">
        <f>HYPERLINK("https://map.naver.com/p/search/전동면 송곡리 90-2", "지도Link")</f>
        <v/>
      </c>
      <c r="N2847" s="6">
        <f>HYPERLINK("http://www.eum.go.kr/web/ar/lu/luLandDet.jsp?pnu=3611038026100900002&amp;isNoScr=script&amp;mode=search", "토지이음")</f>
        <v/>
      </c>
      <c r="O2847" s="3" t="inlineStr">
        <is>
          <t>신안무소</t>
        </is>
      </c>
      <c r="P2847" s="4" t="n">
        <v>1</v>
      </c>
      <c r="Q2847" s="4" t="n">
        <v>1059</v>
      </c>
      <c r="R2847" s="3" t="inlineStr">
        <is>
          <t>지정되지않음</t>
        </is>
      </c>
      <c r="S2847" s="3" t="inlineStr">
        <is>
          <t>과수원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전동면 송곡리 95-2</t>
        </is>
      </c>
      <c r="B2848" s="3" t="inlineStr">
        <is>
          <t>생산관리지역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195900</v>
      </c>
      <c r="G2848" s="4" t="n">
        <v>4317</v>
      </c>
      <c r="H2848" s="4" t="n">
        <v>1306</v>
      </c>
      <c r="I2848" s="5" t="n">
        <v>150</v>
      </c>
      <c r="J2848" s="5" t="n">
        <v>34.8</v>
      </c>
      <c r="K2848" s="3" t="inlineStr">
        <is>
          <t>nan</t>
        </is>
      </c>
      <c r="L2848" s="6">
        <f>HYPERLINK("https://fin.land.naver.com/articles/2653501166", "매물Link")</f>
        <v/>
      </c>
      <c r="M2848" s="6">
        <f>HYPERLINK("https://map.naver.com/p/search/전동면 송곡리 95-2", "지도Link")</f>
        <v/>
      </c>
      <c r="N2848" s="6">
        <f>HYPERLINK("http://www.eum.go.kr/web/ar/lu/luLandDet.jsp?pnu=3611038026100950002&amp;isNoScr=script&amp;mode=search", "토지이음")</f>
        <v/>
      </c>
      <c r="O2848" s="3" t="inlineStr">
        <is>
          <t>연서</t>
        </is>
      </c>
      <c r="P2848" s="4" t="n">
        <v>1</v>
      </c>
      <c r="Q2848" s="4" t="n">
        <v>3657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소로한면</t>
        </is>
      </c>
    </row>
    <row r="2849">
      <c r="A2849" s="3" t="inlineStr">
        <is>
          <t>전동면 송성리 169-1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30200</v>
      </c>
      <c r="G2849" s="4" t="n">
        <v>834</v>
      </c>
      <c r="H2849" s="4" t="n">
        <v>252</v>
      </c>
      <c r="I2849" s="5" t="n">
        <v>119.8</v>
      </c>
      <c r="J2849" s="5" t="n">
        <v>37.7</v>
      </c>
      <c r="K2849" s="3" t="inlineStr">
        <is>
          <t>4m도로접,전원주택지 추천</t>
        </is>
      </c>
      <c r="L2849" s="6">
        <f>HYPERLINK("https://fin.land.naver.com/articles/2654058352", "매물Link")</f>
        <v/>
      </c>
      <c r="M2849" s="6">
        <f>HYPERLINK("https://map.naver.com/p/search/전동면 송성리 169-1", "지도Link")</f>
        <v/>
      </c>
      <c r="N2849" s="6">
        <f>HYPERLINK("http://www.eum.go.kr/web/ar/lu/luLandDet.jsp?pnu=3611038030101690001&amp;isNoScr=script&amp;mode=search", "토지이음")</f>
        <v/>
      </c>
      <c r="O2849" s="3" t="inlineStr">
        <is>
          <t>다사현대대복</t>
        </is>
      </c>
      <c r="P2849" s="4" t="n">
        <v>1</v>
      </c>
      <c r="Q2849" s="4" t="n">
        <v>834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전동면 송성리 368-3</t>
        </is>
      </c>
      <c r="B2850" s="3" t="inlineStr">
        <is>
          <t>농림지역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26080</v>
      </c>
      <c r="G2850" s="4" t="n">
        <v>1077</v>
      </c>
      <c r="H2850" s="4" t="n">
        <v>326</v>
      </c>
      <c r="I2850" s="5" t="n">
        <v>80</v>
      </c>
      <c r="J2850" s="5" t="n">
        <v>13.9</v>
      </c>
      <c r="K2850" s="3" t="inlineStr">
        <is>
          <t>농막 설치된 2차선 도로에 접한 주말농장용 토지</t>
        </is>
      </c>
      <c r="L2850" s="6">
        <f>HYPERLINK("https://fin.land.naver.com/articles/2652065927", "매물Link")</f>
        <v/>
      </c>
      <c r="M2850" s="6">
        <f>HYPERLINK("https://map.naver.com/p/search/전동면 송성리 368-3", "지도Link")</f>
        <v/>
      </c>
      <c r="N2850" s="6">
        <f>HYPERLINK("http://www.eum.go.kr/web/ar/lu/luLandDet.jsp?pnu=3611038030103680003&amp;isNoScr=script&amp;mode=search", "토지이음")</f>
        <v/>
      </c>
      <c r="O2850" s="3" t="inlineStr">
        <is>
          <t>신와촌</t>
        </is>
      </c>
      <c r="P2850" s="4" t="n">
        <v>1</v>
      </c>
      <c r="Q2850" s="4" t="n">
        <v>1077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세로장방</t>
        </is>
      </c>
      <c r="V2850" s="3" t="inlineStr">
        <is>
          <t>소로한면</t>
        </is>
      </c>
    </row>
    <row r="2851">
      <c r="A2851" s="3" t="inlineStr">
        <is>
          <t>전동면 송성리 368-3</t>
        </is>
      </c>
      <c r="B2851" s="3" t="inlineStr">
        <is>
          <t>농림지역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32000</v>
      </c>
      <c r="G2851" s="4" t="n">
        <v>1077</v>
      </c>
      <c r="H2851" s="4" t="n">
        <v>326</v>
      </c>
      <c r="I2851" s="5" t="n">
        <v>98.2</v>
      </c>
      <c r="J2851" s="5" t="n">
        <v>13.9</v>
      </c>
      <c r="K2851" s="3" t="inlineStr">
        <is>
          <t>2차선 도로접한 토지 농림지역</t>
        </is>
      </c>
      <c r="L2851" s="6">
        <f>HYPERLINK("https://fin.land.naver.com/articles/2655501486", "매물Link")</f>
        <v/>
      </c>
      <c r="M2851" s="6">
        <f>HYPERLINK("https://map.naver.com/p/search/전동면 송성리 368-3", "지도Link")</f>
        <v/>
      </c>
      <c r="N2851" s="6">
        <f>HYPERLINK("http://www.eum.go.kr/web/ar/lu/luLandDet.jsp?pnu=3611038030103680003&amp;isNoScr=script&amp;mode=search", "토지이음")</f>
        <v/>
      </c>
      <c r="O2851" s="3" t="inlineStr">
        <is>
          <t>한솔</t>
        </is>
      </c>
      <c r="P2851" s="4" t="n">
        <v>2</v>
      </c>
      <c r="Q2851" s="4" t="n">
        <v>1077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세로장방</t>
        </is>
      </c>
      <c r="V2851" s="3" t="inlineStr">
        <is>
          <t>소로한면</t>
        </is>
      </c>
    </row>
    <row r="2852">
      <c r="A2852" s="3" t="inlineStr">
        <is>
          <t>전동면 송성리 438-1</t>
        </is>
      </c>
      <c r="B2852" s="3" t="inlineStr">
        <is>
          <t>농림지역</t>
        </is>
      </c>
      <c r="C2852" s="3" t="inlineStr">
        <is>
          <t>답</t>
        </is>
      </c>
      <c r="D2852" s="3" t="inlineStr">
        <is>
          <t>답</t>
        </is>
      </c>
      <c r="E2852" s="3" t="inlineStr">
        <is>
          <t>매매</t>
        </is>
      </c>
      <c r="F2852" s="4" t="n">
        <v>30000</v>
      </c>
      <c r="G2852" s="4" t="n">
        <v>1473</v>
      </c>
      <c r="H2852" s="4" t="n">
        <v>446</v>
      </c>
      <c r="I2852" s="5" t="n">
        <v>67.3</v>
      </c>
      <c r="J2852" s="5" t="n">
        <v>13.8</v>
      </c>
      <c r="K2852" s="3" t="inlineStr">
        <is>
          <t>급매.모양 좋은 마을 인근에 있는 답, 농림지역,가격조정가능.</t>
        </is>
      </c>
      <c r="L2852" s="6">
        <f>HYPERLINK("https://fin.land.naver.com/articles/2654979670", "매물Link")</f>
        <v/>
      </c>
      <c r="M2852" s="6">
        <f>HYPERLINK("https://map.naver.com/p/search/전동면 송성리 438-1", "지도Link")</f>
        <v/>
      </c>
      <c r="N2852" s="6">
        <f>HYPERLINK("http://www.eum.go.kr/web/ar/lu/luLandDet.jsp?pnu=3611038030104380001&amp;isNoScr=script&amp;mode=search", "토지이음")</f>
        <v/>
      </c>
      <c r="O2852" s="3" t="inlineStr">
        <is>
          <t>세종일조</t>
        </is>
      </c>
      <c r="P2852" s="4" t="n">
        <v>2</v>
      </c>
      <c r="Q2852" s="4" t="n">
        <v>1473</v>
      </c>
      <c r="R2852" s="3" t="inlineStr">
        <is>
          <t>지정되지않음</t>
        </is>
      </c>
      <c r="S2852" s="3" t="inlineStr">
        <is>
          <t>과수원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소로한면</t>
        </is>
      </c>
    </row>
    <row r="2853">
      <c r="A2853" s="3" t="inlineStr">
        <is>
          <t>전동면 송성리 438-1</t>
        </is>
      </c>
      <c r="B2853" s="3" t="inlineStr">
        <is>
          <t>농림지역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30000</v>
      </c>
      <c r="G2853" s="4" t="n">
        <v>1473</v>
      </c>
      <c r="H2853" s="4" t="n">
        <v>446</v>
      </c>
      <c r="I2853" s="5" t="n">
        <v>67.3</v>
      </c>
      <c r="J2853" s="5" t="n">
        <v>13.8</v>
      </c>
      <c r="K2853" s="3" t="inlineStr">
        <is>
          <t>2차선 도로변에 길게 접한 농지 산가격에 매각해요</t>
        </is>
      </c>
      <c r="L2853" s="6">
        <f>HYPERLINK("https://fin.land.naver.com/articles/2651940996", "매물Link")</f>
        <v/>
      </c>
      <c r="M2853" s="6">
        <f>HYPERLINK("https://map.naver.com/p/search/전동면 송성리 438-1", "지도Link")</f>
        <v/>
      </c>
      <c r="N2853" s="6">
        <f>HYPERLINK("http://www.eum.go.kr/web/ar/lu/luLandDet.jsp?pnu=3611038030104380001&amp;isNoScr=script&amp;mode=search", "토지이음")</f>
        <v/>
      </c>
      <c r="O2853" s="3" t="inlineStr">
        <is>
          <t>용궁</t>
        </is>
      </c>
      <c r="P2853" s="4" t="n">
        <v>2</v>
      </c>
      <c r="Q2853" s="4" t="n">
        <v>1473</v>
      </c>
      <c r="R2853" s="3" t="inlineStr">
        <is>
          <t>지정되지않음</t>
        </is>
      </c>
      <c r="S2853" s="3" t="inlineStr">
        <is>
          <t>과수원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소로한면</t>
        </is>
      </c>
    </row>
    <row r="2854">
      <c r="A2854" s="3" t="inlineStr">
        <is>
          <t>전동면 송성리 540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50000</v>
      </c>
      <c r="G2854" s="4" t="n">
        <v>4076</v>
      </c>
      <c r="H2854" s="4" t="n">
        <v>1233</v>
      </c>
      <c r="I2854" s="5" t="n">
        <v>40.6</v>
      </c>
      <c r="J2854" s="5" t="n">
        <v>18.8</v>
      </c>
      <c r="K2854" s="3" t="inlineStr">
        <is>
          <t>계획관리와 생산관리 2필지 매매,주변 경관좋고 캠핑장 인접 ,남향토지</t>
        </is>
      </c>
      <c r="L2854" s="6">
        <f>HYPERLINK("https://fin.land.naver.com/articles/2651251766", "매물Link")</f>
        <v/>
      </c>
      <c r="M2854" s="6">
        <f>HYPERLINK("https://map.naver.com/p/search/전동면 송성리 540", "지도Link")</f>
        <v/>
      </c>
      <c r="N2854" s="6">
        <f>HYPERLINK("http://www.eum.go.kr/web/ar/lu/luLandDet.jsp?pnu=3611038030105400000&amp;isNoScr=script&amp;mode=search", "토지이음")</f>
        <v/>
      </c>
      <c r="O2854" s="3" t="inlineStr">
        <is>
          <t>담뜰</t>
        </is>
      </c>
      <c r="P2854" s="4" t="n">
        <v>1</v>
      </c>
      <c r="Q2854" s="4" t="n">
        <v>1111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전동면 송성리 545</t>
        </is>
      </c>
      <c r="B2855" s="3" t="inlineStr">
        <is>
          <t>보전관리지역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18500</v>
      </c>
      <c r="G2855" s="4" t="n">
        <v>1074</v>
      </c>
      <c r="H2855" s="4" t="n">
        <v>325</v>
      </c>
      <c r="I2855" s="5" t="n">
        <v>56.9</v>
      </c>
      <c r="J2855" s="5" t="n">
        <v>17</v>
      </c>
      <c r="K2855" s="3" t="inlineStr">
        <is>
          <t>nan</t>
        </is>
      </c>
      <c r="L2855" s="6">
        <f>HYPERLINK("https://fin.land.naver.com/articles/2653069164", "매물Link")</f>
        <v/>
      </c>
      <c r="M2855" s="6">
        <f>HYPERLINK("https://map.naver.com/p/search/전동면 송성리 545", "지도Link")</f>
        <v/>
      </c>
      <c r="N2855" s="6">
        <f>HYPERLINK("http://www.eum.go.kr/web/ar/lu/luLandDet.jsp?pnu=3611038030105450000&amp;isNoScr=script&amp;mode=search", "토지이음")</f>
        <v/>
      </c>
      <c r="O2855" s="3" t="inlineStr">
        <is>
          <t>세종땅사랑</t>
        </is>
      </c>
      <c r="P2855" s="4" t="n">
        <v>1</v>
      </c>
      <c r="Q2855" s="4" t="n">
        <v>1074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전동면 송성리 550-2</t>
        </is>
      </c>
      <c r="B2856" s="3" t="inlineStr">
        <is>
          <t>계획관리지역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32500</v>
      </c>
      <c r="G2856" s="4" t="n">
        <v>2710</v>
      </c>
      <c r="H2856" s="4" t="n">
        <v>820</v>
      </c>
      <c r="I2856" s="5" t="n">
        <v>39.6</v>
      </c>
      <c r="J2856" s="5" t="n">
        <v>27.1</v>
      </c>
      <c r="K2856" s="3" t="inlineStr">
        <is>
          <t>세종시 토지 급매물</t>
        </is>
      </c>
      <c r="L2856" s="6">
        <f>HYPERLINK("https://fin.land.naver.com/articles/2651247075", "매물Link")</f>
        <v/>
      </c>
      <c r="M2856" s="6">
        <f>HYPERLINK("https://map.naver.com/p/search/전동면 송성리 550-2", "지도Link")</f>
        <v/>
      </c>
      <c r="N2856" s="6">
        <f>HYPERLINK("http://www.eum.go.kr/web/ar/lu/luLandDet.jsp?pnu=3611038030105500002&amp;isNoScr=script&amp;mode=search", "토지이음")</f>
        <v/>
      </c>
      <c r="O2856" s="3" t="inlineStr">
        <is>
          <t>세종토박이</t>
        </is>
      </c>
      <c r="P2856" s="4" t="n">
        <v>1</v>
      </c>
      <c r="Q2856" s="4" t="n">
        <v>942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전동면 송성리 56</t>
        </is>
      </c>
      <c r="B2857" s="3" t="inlineStr">
        <is>
          <t>생산관리지역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70000</v>
      </c>
      <c r="G2857" s="4" t="n">
        <v>2483</v>
      </c>
      <c r="H2857" s="4" t="n">
        <v>751</v>
      </c>
      <c r="I2857" s="5" t="n">
        <v>93.2</v>
      </c>
      <c r="J2857" s="5" t="n">
        <v>19.2</v>
      </c>
      <c r="K2857" s="3" t="inlineStr">
        <is>
          <t>송성2리마을 초입 도로 접한 토지매매</t>
        </is>
      </c>
      <c r="L2857" s="6">
        <f>HYPERLINK("https://fin.land.naver.com/articles/2655174786", "매물Link")</f>
        <v/>
      </c>
      <c r="M2857" s="6">
        <f>HYPERLINK("https://map.naver.com/p/search/전동면 송성리 56", "지도Link")</f>
        <v/>
      </c>
      <c r="N2857" s="6">
        <f>HYPERLINK("http://www.eum.go.kr/web/ar/lu/luLandDet.jsp?pnu=3611038030100560000&amp;isNoScr=script&amp;mode=search", "토지이음")</f>
        <v/>
      </c>
      <c r="O2857" s="3" t="inlineStr">
        <is>
          <t>에이스</t>
        </is>
      </c>
      <c r="P2857" s="4" t="n">
        <v>1</v>
      </c>
      <c r="Q2857" s="4" t="n">
        <v>2483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전동면 송성리 606-2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30000</v>
      </c>
      <c r="G2858" s="4" t="n">
        <v>1399</v>
      </c>
      <c r="H2858" s="4" t="n">
        <v>423</v>
      </c>
      <c r="I2858" s="5" t="n">
        <v>70.90000000000001</v>
      </c>
      <c r="J2858" s="5" t="n">
        <v>17.3</v>
      </c>
      <c r="K2858" s="3" t="inlineStr">
        <is>
          <t>남동향,조망권있는약간높은지대,투자성양호</t>
        </is>
      </c>
      <c r="L2858" s="6">
        <f>HYPERLINK("https://fin.land.naver.com/articles/2654101170", "매물Link")</f>
        <v/>
      </c>
      <c r="M2858" s="6">
        <f>HYPERLINK("https://map.naver.com/p/search/전동면 송성리 606-2", "지도Link")</f>
        <v/>
      </c>
      <c r="N2858" s="6">
        <f>HYPERLINK("http://www.eum.go.kr/web/ar/lu/luLandDet.jsp?pnu=3611038030106060002&amp;isNoScr=script&amp;mode=search", "토지이음")</f>
        <v/>
      </c>
      <c r="O2858" s="3" t="inlineStr">
        <is>
          <t>행복가득한</t>
        </is>
      </c>
      <c r="P2858" s="4" t="n">
        <v>1</v>
      </c>
      <c r="Q2858" s="4" t="n">
        <v>1399</v>
      </c>
      <c r="R2858" s="3" t="inlineStr">
        <is>
          <t>계획관리지역</t>
        </is>
      </c>
      <c r="S2858" s="3" t="inlineStr">
        <is>
          <t>전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전동면 송성리 산101-2</t>
        </is>
      </c>
      <c r="B2859" s="3" t="inlineStr">
        <is>
          <t>보전관리지역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150000</v>
      </c>
      <c r="G2859" s="4" t="n">
        <v>12893</v>
      </c>
      <c r="H2859" s="4" t="n">
        <v>3900</v>
      </c>
      <c r="I2859" s="5" t="n">
        <v>38.5</v>
      </c>
      <c r="J2859" s="5" t="n">
        <v>5</v>
      </c>
      <c r="K2859" s="3" t="inlineStr">
        <is>
          <t>nan</t>
        </is>
      </c>
      <c r="L2859" s="6">
        <f>HYPERLINK("https://fin.land.naver.com/articles/2655797455", "매물Link")</f>
        <v/>
      </c>
      <c r="M2859" s="6">
        <f>HYPERLINK("https://map.naver.com/p/search/전동면 송성리 산101-2", "지도Link")</f>
        <v/>
      </c>
      <c r="N2859" s="6">
        <f>HYPERLINK("http://www.eum.go.kr/web/ar/lu/luLandDet.jsp?pnu=3611038030201010002&amp;isNoScr=script&amp;mode=search", "토지이음")</f>
        <v/>
      </c>
      <c r="O2859" s="3" t="inlineStr">
        <is>
          <t>일등</t>
        </is>
      </c>
      <c r="P2859" s="4" t="n">
        <v>1</v>
      </c>
      <c r="Q2859" s="4" t="n">
        <v>12893</v>
      </c>
      <c r="R2859" s="3" t="inlineStr">
        <is>
          <t>농림지역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전동면 송성리 산146</t>
        </is>
      </c>
      <c r="B2860" s="3" t="inlineStr">
        <is>
          <t>농림지역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400000</v>
      </c>
      <c r="G2860" s="4" t="n">
        <v>29058</v>
      </c>
      <c r="H2860" s="4" t="n">
        <v>8790</v>
      </c>
      <c r="I2860" s="5" t="n">
        <v>45.5</v>
      </c>
      <c r="J2860" s="5" t="n">
        <v>3.5</v>
      </c>
      <c r="K2860" s="3" t="inlineStr">
        <is>
          <t>세종시 전동면 송성리 도로변 계획관리 토지 매매</t>
        </is>
      </c>
      <c r="L2860" s="6">
        <f>HYPERLINK("https://fin.land.naver.com/articles/2654247152", "매물Link")</f>
        <v/>
      </c>
      <c r="M2860" s="6">
        <f>HYPERLINK("https://map.naver.com/p/search/전동면 송성리 산146", "지도Link")</f>
        <v/>
      </c>
      <c r="N2860" s="6">
        <f>HYPERLINK("http://www.eum.go.kr/web/ar/lu/luLandDet.jsp?pnu=3611038030201460000&amp;isNoScr=script&amp;mode=search", "토지이음")</f>
        <v/>
      </c>
      <c r="O2860" s="3" t="inlineStr">
        <is>
          <t>비전</t>
        </is>
      </c>
      <c r="P2860" s="4" t="n">
        <v>1</v>
      </c>
      <c r="Q2860" s="4" t="n">
        <v>29058</v>
      </c>
      <c r="R2860" s="3" t="inlineStr">
        <is>
          <t>계획관리지역</t>
        </is>
      </c>
      <c r="S2860" s="3" t="inlineStr">
        <is>
          <t>자연림</t>
        </is>
      </c>
      <c r="T2860" s="3" t="inlineStr">
        <is>
          <t>급경사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전동면 송성리 산43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53000</v>
      </c>
      <c r="G2861" s="4" t="n">
        <v>29455</v>
      </c>
      <c r="H2861" s="4" t="n">
        <v>8910</v>
      </c>
      <c r="I2861" s="5" t="n">
        <v>5.9</v>
      </c>
      <c r="J2861" s="5" t="n">
        <v>1.3</v>
      </c>
      <c r="K2861" s="3" t="inlineStr">
        <is>
          <t>전동면 송성리 임야 매우 저렴한 투자물건</t>
        </is>
      </c>
      <c r="L2861" s="6">
        <f>HYPERLINK("https://fin.land.naver.com/articles/2650954190", "매물Link")</f>
        <v/>
      </c>
      <c r="M2861" s="6">
        <f>HYPERLINK("https://map.naver.com/p/search/전동면 송성리 산43", "지도Link")</f>
        <v/>
      </c>
      <c r="N2861" s="6">
        <f>HYPERLINK("http://www.eum.go.kr/web/ar/lu/luLandDet.jsp?pnu=3611038030200430000&amp;isNoScr=script&amp;mode=search", "토지이음")</f>
        <v/>
      </c>
      <c r="O2861" s="3" t="inlineStr">
        <is>
          <t>다산</t>
        </is>
      </c>
      <c r="P2861" s="4" t="n">
        <v>1</v>
      </c>
      <c r="Q2861" s="4" t="n">
        <v>29455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전동면 송성리 산87-7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39600</v>
      </c>
      <c r="G2862" s="4" t="n">
        <v>21818</v>
      </c>
      <c r="H2862" s="4" t="n">
        <v>6600</v>
      </c>
      <c r="I2862" s="5" t="n">
        <v>6</v>
      </c>
      <c r="J2862" s="5" t="n">
        <v>1.3</v>
      </c>
      <c r="K2862" s="3" t="inlineStr">
        <is>
          <t>nan</t>
        </is>
      </c>
      <c r="L2862" s="6">
        <f>HYPERLINK("https://fin.land.naver.com/articles/2654847912", "매물Link")</f>
        <v/>
      </c>
      <c r="M2862" s="6">
        <f>HYPERLINK("https://map.naver.com/p/search/전동면 송성리 산87-7", "지도Link")</f>
        <v/>
      </c>
      <c r="N2862" s="6">
        <f>HYPERLINK("http://www.eum.go.kr/web/ar/lu/luLandDet.jsp?pnu=3611038030200870007&amp;isNoScr=script&amp;mode=search", "토지이음")</f>
        <v/>
      </c>
      <c r="O2862" s="3" t="inlineStr">
        <is>
          <t>세종대평</t>
        </is>
      </c>
      <c r="P2862" s="4" t="n">
        <v>1</v>
      </c>
      <c r="Q2862" s="4" t="n">
        <v>21818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전동면 송정리 117-11</t>
        </is>
      </c>
      <c r="B2863" s="3" t="inlineStr">
        <is>
          <t>농림지역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60000</v>
      </c>
      <c r="G2863" s="4" t="n">
        <v>3627</v>
      </c>
      <c r="H2863" s="4" t="n">
        <v>1097</v>
      </c>
      <c r="I2863" s="5" t="n">
        <v>54.7</v>
      </c>
      <c r="J2863" s="5" t="n">
        <v>18.3</v>
      </c>
      <c r="K2863" s="3" t="inlineStr">
        <is>
          <t>급매, 도로접함</t>
        </is>
      </c>
      <c r="L2863" s="6">
        <f>HYPERLINK("https://fin.land.naver.com/articles/2653750331", "매물Link")</f>
        <v/>
      </c>
      <c r="M2863" s="6">
        <f>HYPERLINK("https://map.naver.com/p/search/전동면 송정리 117-11", "지도Link")</f>
        <v/>
      </c>
      <c r="N2863" s="6">
        <f>HYPERLINK("http://www.eum.go.kr/web/ar/lu/luLandDet.jsp?pnu=3611038027101170011&amp;isNoScr=script&amp;mode=search", "토지이음")</f>
        <v/>
      </c>
      <c r="O2863" s="3" t="inlineStr">
        <is>
          <t>덕천</t>
        </is>
      </c>
      <c r="P2863" s="4" t="n">
        <v>1</v>
      </c>
      <c r="Q2863" s="4" t="n">
        <v>3627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전동면 송정리 117-2</t>
        </is>
      </c>
      <c r="B2864" s="3" t="inlineStr">
        <is>
          <t>농림지역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60000</v>
      </c>
      <c r="G2864" s="4" t="n">
        <v>3627</v>
      </c>
      <c r="H2864" s="4" t="n">
        <v>1097</v>
      </c>
      <c r="I2864" s="5" t="n">
        <v>54.7</v>
      </c>
      <c r="J2864" s="5" t="n">
        <v>21.7</v>
      </c>
      <c r="K2864" s="3" t="inlineStr">
        <is>
          <t>급매, 도로접함</t>
        </is>
      </c>
      <c r="L2864" s="6">
        <f>HYPERLINK("https://fin.land.naver.com/articles/2653749883", "매물Link")</f>
        <v/>
      </c>
      <c r="M2864" s="6">
        <f>HYPERLINK("https://map.naver.com/p/search/전동면 송정리 117-2", "지도Link")</f>
        <v/>
      </c>
      <c r="N2864" s="6">
        <f>HYPERLINK("http://www.eum.go.kr/web/ar/lu/luLandDet.jsp?pnu=3611038027101170002&amp;isNoScr=script&amp;mode=search", "토지이음")</f>
        <v/>
      </c>
      <c r="O2864" s="3" t="inlineStr">
        <is>
          <t>덕천</t>
        </is>
      </c>
      <c r="P2864" s="4" t="n">
        <v>1</v>
      </c>
      <c r="Q2864" s="4" t="n">
        <v>3627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소로각지</t>
        </is>
      </c>
    </row>
    <row r="2865">
      <c r="A2865" s="3" t="inlineStr">
        <is>
          <t>전동면 송정리 149</t>
        </is>
      </c>
      <c r="B2865" s="3" t="inlineStr">
        <is>
          <t>계획관리지역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21000</v>
      </c>
      <c r="G2865" s="4" t="n">
        <v>873</v>
      </c>
      <c r="H2865" s="4" t="n">
        <v>264</v>
      </c>
      <c r="I2865" s="5" t="n">
        <v>79.5</v>
      </c>
      <c r="J2865" s="5" t="n">
        <v>35.1</v>
      </c>
      <c r="K2865" s="3" t="inlineStr">
        <is>
          <t>송정리 대지 매매</t>
        </is>
      </c>
      <c r="L2865" s="6">
        <f>HYPERLINK("https://fin.land.naver.com/articles/2655665436", "매물Link")</f>
        <v/>
      </c>
      <c r="M2865" s="6">
        <f>HYPERLINK("https://map.naver.com/p/search/전동면 송정리 149", "지도Link")</f>
        <v/>
      </c>
      <c r="N2865" s="6">
        <f>HYPERLINK("http://www.eum.go.kr/web/ar/lu/luLandDet.jsp?pnu=3611038027101490000&amp;isNoScr=script&amp;mode=search", "토지이음")</f>
        <v/>
      </c>
      <c r="O2865" s="3" t="inlineStr">
        <is>
          <t>상희</t>
        </is>
      </c>
      <c r="P2865" s="4" t="n">
        <v>1</v>
      </c>
      <c r="Q2865" s="4" t="n">
        <v>873</v>
      </c>
      <c r="R2865" s="3" t="inlineStr">
        <is>
          <t>지정되지않음</t>
        </is>
      </c>
      <c r="S2865" s="3" t="inlineStr">
        <is>
          <t>단독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전동면 송정리 202-1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33700</v>
      </c>
      <c r="G2866" s="4" t="n">
        <v>1392</v>
      </c>
      <c r="H2866" s="4" t="n">
        <v>421</v>
      </c>
      <c r="I2866" s="5" t="n">
        <v>80</v>
      </c>
      <c r="J2866" s="5" t="n">
        <v>27.6</v>
      </c>
      <c r="K2866" s="3" t="inlineStr">
        <is>
          <t>계획관리 평당80만원 도로접</t>
        </is>
      </c>
      <c r="L2866" s="6">
        <f>HYPERLINK("https://fin.land.naver.com/articles/2654237430", "매물Link")</f>
        <v/>
      </c>
      <c r="M2866" s="6">
        <f>HYPERLINK("https://map.naver.com/p/search/전동면 송정리 202-1", "지도Link")</f>
        <v/>
      </c>
      <c r="N2866" s="6">
        <f>HYPERLINK("http://www.eum.go.kr/web/ar/lu/luLandDet.jsp?pnu=3611038027102020001&amp;isNoScr=script&amp;mode=search",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1071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평지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전동면 송정리 203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150000</v>
      </c>
      <c r="G2867" s="4" t="n">
        <v>5005</v>
      </c>
      <c r="H2867" s="4" t="n">
        <v>1514</v>
      </c>
      <c r="I2867" s="5" t="n">
        <v>99.09999999999999</v>
      </c>
      <c r="J2867" s="5" t="n">
        <v>32.3</v>
      </c>
      <c r="K2867" s="3" t="inlineStr">
        <is>
          <t>송정리 공장토지 매매 공장 사용 가능</t>
        </is>
      </c>
      <c r="L2867" s="6">
        <f>HYPERLINK("https://fin.land.naver.com/articles/2653160540", "매물Link")</f>
        <v/>
      </c>
      <c r="M2867" s="6">
        <f>HYPERLINK("https://map.naver.com/p/search/전동면 송정리 203", "지도Link")</f>
        <v/>
      </c>
      <c r="N2867" s="6">
        <f>HYPERLINK("http://www.eum.go.kr/web/ar/lu/luLandDet.jsp?pnu=3611038027102030000&amp;isNoScr=script&amp;mode=search", "토지이음")</f>
        <v/>
      </c>
      <c r="O2867" s="3" t="inlineStr">
        <is>
          <t>스타트</t>
        </is>
      </c>
      <c r="P2867" s="4" t="n">
        <v>1</v>
      </c>
      <c r="Q2867" s="4" t="n">
        <v>4504</v>
      </c>
      <c r="R2867" s="3" t="inlineStr">
        <is>
          <t>지정되지않음</t>
        </is>
      </c>
      <c r="S2867" s="3" t="inlineStr">
        <is>
          <t>답축사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전동면 송정리 261</t>
        </is>
      </c>
      <c r="B2868" s="3" t="inlineStr">
        <is>
          <t>생산관리지역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25000</v>
      </c>
      <c r="G2868" s="4" t="n">
        <v>983</v>
      </c>
      <c r="H2868" s="4" t="n">
        <v>297</v>
      </c>
      <c r="I2868" s="5" t="n">
        <v>84.2</v>
      </c>
      <c r="J2868" s="5" t="n">
        <v>22.2</v>
      </c>
      <c r="K2868" s="3" t="inlineStr">
        <is>
          <t>고복저수지인근 2차선도로접 개발하기 좋은땅</t>
        </is>
      </c>
      <c r="L2868" s="6">
        <f>HYPERLINK("https://fin.land.naver.com/articles/2652292751", "매물Link")</f>
        <v/>
      </c>
      <c r="M2868" s="6">
        <f>HYPERLINK("https://map.naver.com/p/search/전동면 송정리 261", "지도Link")</f>
        <v/>
      </c>
      <c r="N2868" s="6">
        <f>HYPERLINK("http://www.eum.go.kr/web/ar/lu/luLandDet.jsp?pnu=3611038027102610000&amp;isNoScr=script&amp;mode=search", "토지이음")</f>
        <v/>
      </c>
      <c r="O2868" s="3" t="inlineStr">
        <is>
          <t>세종강남</t>
        </is>
      </c>
      <c r="P2868" s="4" t="n">
        <v>1</v>
      </c>
      <c r="Q2868" s="4" t="n">
        <v>983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소로한면</t>
        </is>
      </c>
    </row>
    <row r="2869">
      <c r="A2869" s="3" t="inlineStr">
        <is>
          <t>전동면 송정리 268</t>
        </is>
      </c>
      <c r="B2869" s="3" t="inlineStr">
        <is>
          <t>생산관리지역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62000</v>
      </c>
      <c r="G2869" s="4" t="n">
        <v>2404</v>
      </c>
      <c r="H2869" s="4" t="n">
        <v>727</v>
      </c>
      <c r="I2869" s="5" t="n">
        <v>85.3</v>
      </c>
      <c r="J2869" s="5" t="n">
        <v>21.6</v>
      </c>
      <c r="K2869" s="3" t="inlineStr">
        <is>
          <t>고복저수지와 송정리를 연결하는 2차선도로 옆 급매물 토지</t>
        </is>
      </c>
      <c r="L2869" s="6">
        <f>HYPERLINK("https://fin.land.naver.com/articles/2652034406", "매물Link")</f>
        <v/>
      </c>
      <c r="M2869" s="6">
        <f>HYPERLINK("https://map.naver.com/p/search/전동면 송정리 268", "지도Link")</f>
        <v/>
      </c>
      <c r="N2869" s="6">
        <f>HYPERLINK("http://www.eum.go.kr/web/ar/lu/luLandDet.jsp?pnu=3611038027102680000&amp;isNoScr=script&amp;mode=search",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2404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전동면 송정리 296-8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96000</v>
      </c>
      <c r="G2870" s="4" t="n">
        <v>5284</v>
      </c>
      <c r="H2870" s="4" t="n">
        <v>1598</v>
      </c>
      <c r="I2870" s="5" t="n">
        <v>60.1</v>
      </c>
      <c r="J2870" s="5" t="n">
        <v>22.2</v>
      </c>
      <c r="K2870" s="3" t="inlineStr">
        <is>
          <t>대토추천, 2차선도로접. 농업보호구역, 분할매도가능</t>
        </is>
      </c>
      <c r="L2870" s="6">
        <f>HYPERLINK("https://fin.land.naver.com/articles/2654227231", "매물Link")</f>
        <v/>
      </c>
      <c r="M2870" s="6">
        <f>HYPERLINK("https://map.naver.com/p/search/전동면 송정리 296-8", "지도Link")</f>
        <v/>
      </c>
      <c r="N2870" s="6">
        <f>HYPERLINK("http://www.eum.go.kr/web/ar/lu/luLandDet.jsp?pnu=3611038027102960008&amp;isNoScr=script&amp;mode=search", "토지이음")</f>
        <v/>
      </c>
      <c r="O2870" s="3" t="inlineStr">
        <is>
          <t>미스터홈즈강남지사</t>
        </is>
      </c>
      <c r="P2870" s="4" t="n">
        <v>1</v>
      </c>
      <c r="Q2870" s="4" t="n">
        <v>5284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전동면 송정리 321-3</t>
        </is>
      </c>
      <c r="B2871" s="3" t="inlineStr">
        <is>
          <t>생산관리지역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25000</v>
      </c>
      <c r="G2871" s="4" t="n">
        <v>1184</v>
      </c>
      <c r="H2871" s="4" t="n">
        <v>358</v>
      </c>
      <c r="I2871" s="5" t="n">
        <v>69.8</v>
      </c>
      <c r="J2871" s="5" t="n">
        <v>21.7</v>
      </c>
      <c r="K2871" s="3" t="inlineStr">
        <is>
          <t>급매 송정리  2차선접 남향 건축및투자하기 좋은 금액입니다</t>
        </is>
      </c>
      <c r="L2871" s="6">
        <f>HYPERLINK("https://fin.land.naver.com/articles/2652043902", "매물Link")</f>
        <v/>
      </c>
      <c r="M2871" s="6">
        <f>HYPERLINK("https://map.naver.com/p/search/전동면 송정리 321-3", "지도Link")</f>
        <v/>
      </c>
      <c r="N2871" s="6">
        <f>HYPERLINK("http://www.eum.go.kr/web/ar/lu/luLandDet.jsp?pnu=3611038027103210003&amp;isNoScr=script&amp;mode=search", "토지이음")</f>
        <v/>
      </c>
      <c r="O2871" s="3" t="inlineStr">
        <is>
          <t>OK수</t>
        </is>
      </c>
      <c r="P2871" s="4" t="n">
        <v>1</v>
      </c>
      <c r="Q2871" s="4" t="n">
        <v>1184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전동면 송정리 36-4</t>
        </is>
      </c>
      <c r="B2872" s="3" t="inlineStr">
        <is>
          <t>계획관리지역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267000</v>
      </c>
      <c r="G2872" s="4" t="n">
        <v>5884</v>
      </c>
      <c r="H2872" s="4" t="n">
        <v>1780</v>
      </c>
      <c r="I2872" s="5" t="n">
        <v>150</v>
      </c>
      <c r="J2872" s="5" t="n">
        <v>46</v>
      </c>
      <c r="K2872" s="3" t="inlineStr">
        <is>
          <t>계획관리지역으로 소매점 1동과 조망 좋은 단독주택 1동 택지 조성된 임야</t>
        </is>
      </c>
      <c r="L2872" s="6">
        <f>HYPERLINK("https://fin.land.naver.com/articles/2651902769", "매물Link")</f>
        <v/>
      </c>
      <c r="M2872" s="6">
        <f>HYPERLINK("https://map.naver.com/p/search/전동면 송정리 36-4", "지도Link")</f>
        <v/>
      </c>
      <c r="N2872" s="6">
        <f>HYPERLINK("http://www.eum.go.kr/web/ar/lu/luLandDet.jsp?pnu=3611038027100360004&amp;isNoScr=script&amp;mode=search",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1608</v>
      </c>
      <c r="R2872" s="3" t="inlineStr">
        <is>
          <t>지정되지않음</t>
        </is>
      </c>
      <c r="S2872" s="3" t="inlineStr">
        <is>
          <t>주상용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전동면 송정리 372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36000</v>
      </c>
      <c r="G2873" s="4" t="n">
        <v>1676</v>
      </c>
      <c r="H2873" s="4" t="n">
        <v>507</v>
      </c>
      <c r="I2873" s="5" t="n">
        <v>71</v>
      </c>
      <c r="J2873" s="5" t="n">
        <v>18.3</v>
      </c>
      <c r="K2873" s="3" t="inlineStr">
        <is>
          <t>2차선 도로 접한 토지 매매</t>
        </is>
      </c>
      <c r="L2873" s="6">
        <f>HYPERLINK("https://fin.land.naver.com/articles/2653157645", "매물Link")</f>
        <v/>
      </c>
      <c r="M2873" s="6">
        <f>HYPERLINK("https://map.naver.com/p/search/전동면 송정리 372", "지도Link")</f>
        <v/>
      </c>
      <c r="N2873" s="6">
        <f>HYPERLINK("http://www.eum.go.kr/web/ar/lu/luLandDet.jsp?pnu=3611038027103720000&amp;isNoScr=script&amp;mode=search", "토지이음")</f>
        <v/>
      </c>
      <c r="O2873" s="3" t="inlineStr">
        <is>
          <t>스타트</t>
        </is>
      </c>
      <c r="P2873" s="4" t="n">
        <v>1</v>
      </c>
      <c r="Q2873" s="4" t="n">
        <v>1676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전동면 송정리 382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9500</v>
      </c>
      <c r="G2874" s="4" t="n">
        <v>519</v>
      </c>
      <c r="H2874" s="4" t="n">
        <v>157</v>
      </c>
      <c r="I2874" s="5" t="n">
        <v>60.5</v>
      </c>
      <c r="J2874" s="5" t="n">
        <v>16.7</v>
      </c>
      <c r="K2874" s="3" t="inlineStr">
        <is>
          <t>급매 송정리 토지 매매</t>
        </is>
      </c>
      <c r="L2874" s="6">
        <f>HYPERLINK("https://fin.land.naver.com/articles/2655242076", "매물Link")</f>
        <v/>
      </c>
      <c r="M2874" s="6">
        <f>HYPERLINK("https://map.naver.com/p/search/전동면 송정리 382", "지도Link")</f>
        <v/>
      </c>
      <c r="N2874" s="6">
        <f>HYPERLINK("http://www.eum.go.kr/web/ar/lu/luLandDet.jsp?pnu=3611038027103820000&amp;isNoScr=script&amp;mode=search", "토지이음")</f>
        <v/>
      </c>
      <c r="O2874" s="3" t="inlineStr">
        <is>
          <t>스타트</t>
        </is>
      </c>
      <c r="P2874" s="4" t="n">
        <v>1</v>
      </c>
      <c r="Q2874" s="4" t="n">
        <v>519</v>
      </c>
      <c r="R2874" s="3" t="inlineStr">
        <is>
          <t>지정되지않음</t>
        </is>
      </c>
      <c r="S2874" s="3" t="inlineStr">
        <is>
          <t>과수원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전동면 송정리 산12</t>
        </is>
      </c>
      <c r="B2875" s="3" t="inlineStr">
        <is>
          <t>농림지역</t>
        </is>
      </c>
      <c r="C2875" s="3" t="inlineStr">
        <is>
          <t>임야</t>
        </is>
      </c>
      <c r="D2875" s="3" t="inlineStr">
        <is>
          <t>임야</t>
        </is>
      </c>
      <c r="E2875" s="3" t="inlineStr">
        <is>
          <t>매매</t>
        </is>
      </c>
      <c r="F2875" s="4" t="n">
        <v>280000</v>
      </c>
      <c r="G2875" s="4" t="n">
        <v>45620</v>
      </c>
      <c r="H2875" s="4" t="n">
        <v>13800</v>
      </c>
      <c r="I2875" s="5" t="n">
        <v>20.3</v>
      </c>
      <c r="J2875" s="5" t="n">
        <v>3</v>
      </c>
      <c r="K2875" s="3" t="inlineStr">
        <is>
          <t>송정리 위치 좋은 넓은 임야로 활용도가  좋은 매물이예요</t>
        </is>
      </c>
      <c r="L2875" s="6">
        <f>HYPERLINK("https://fin.land.naver.com/articles/2653348523", "매물Link")</f>
        <v/>
      </c>
      <c r="M2875" s="6">
        <f>HYPERLINK("https://map.naver.com/p/search/전동면 송정리 산12", "지도Link")</f>
        <v/>
      </c>
      <c r="N2875" s="6">
        <f>HYPERLINK("http://www.eum.go.kr/web/ar/lu/luLandDet.jsp?pnu=3611038027200120000&amp;isNoScr=script&amp;mode=search", "토지이음")</f>
        <v/>
      </c>
      <c r="O2875" s="3" t="inlineStr">
        <is>
          <t>4989명품</t>
        </is>
      </c>
      <c r="P2875" s="4" t="n">
        <v>1</v>
      </c>
      <c r="Q2875" s="4" t="n">
        <v>45620</v>
      </c>
      <c r="R2875" s="3" t="inlineStr">
        <is>
          <t>계획관리지역</t>
        </is>
      </c>
      <c r="S2875" s="3" t="inlineStr">
        <is>
          <t>자연림</t>
        </is>
      </c>
      <c r="T2875" s="3" t="inlineStr">
        <is>
          <t>급경사</t>
        </is>
      </c>
      <c r="U2875" s="3" t="inlineStr">
        <is>
          <t>가로장방</t>
        </is>
      </c>
      <c r="V2875" s="3" t="inlineStr">
        <is>
          <t>세로한면(가)</t>
        </is>
      </c>
    </row>
    <row r="2876">
      <c r="A2876" s="3" t="inlineStr">
        <is>
          <t>전동면 송정리 산19</t>
        </is>
      </c>
      <c r="B2876" s="3" t="inlineStr">
        <is>
          <t>농림지역</t>
        </is>
      </c>
      <c r="C2876" s="3" t="inlineStr">
        <is>
          <t>임야</t>
        </is>
      </c>
      <c r="D2876" s="3" t="inlineStr">
        <is>
          <t>임야</t>
        </is>
      </c>
      <c r="E2876" s="3" t="inlineStr">
        <is>
          <t>매매</t>
        </is>
      </c>
      <c r="F2876" s="4" t="n">
        <v>90000</v>
      </c>
      <c r="G2876" s="4" t="n">
        <v>37109</v>
      </c>
      <c r="H2876" s="4" t="n">
        <v>11225</v>
      </c>
      <c r="I2876" s="5" t="n">
        <v>8</v>
      </c>
      <c r="J2876" s="5" t="n">
        <v>1.6</v>
      </c>
      <c r="K2876" s="3" t="inlineStr">
        <is>
          <t>개발투자추천 가격조율가능</t>
        </is>
      </c>
      <c r="L2876" s="6">
        <f>HYPERLINK("https://fin.land.naver.com/articles/2655114627", "매물Link")</f>
        <v/>
      </c>
      <c r="M2876" s="6">
        <f>HYPERLINK("https://map.naver.com/p/search/전동면 송정리 산19", "지도Link")</f>
        <v/>
      </c>
      <c r="N2876" s="6">
        <f>HYPERLINK("http://www.eum.go.kr/web/ar/lu/luLandDet.jsp?pnu=3611038027200190000&amp;isNoScr=script&amp;mode=search", "토지이음")</f>
        <v/>
      </c>
      <c r="O2876" s="3" t="inlineStr">
        <is>
          <t>뉴엘리트탑</t>
        </is>
      </c>
      <c r="P2876" s="4" t="n">
        <v>1</v>
      </c>
      <c r="Q2876" s="4" t="n">
        <v>37109</v>
      </c>
      <c r="R2876" s="3" t="inlineStr">
        <is>
          <t>보전관리지역</t>
        </is>
      </c>
      <c r="S2876" s="3" t="inlineStr">
        <is>
          <t>자연림</t>
        </is>
      </c>
      <c r="T2876" s="3" t="inlineStr">
        <is>
          <t>급경사</t>
        </is>
      </c>
      <c r="U2876" s="3" t="inlineStr">
        <is>
          <t>부정형</t>
        </is>
      </c>
      <c r="V2876" s="3" t="inlineStr">
        <is>
          <t>맹지</t>
        </is>
      </c>
    </row>
    <row r="2877">
      <c r="A2877" s="3" t="inlineStr">
        <is>
          <t>전동면 심중리 191-1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7000</v>
      </c>
      <c r="G2877" s="4" t="n">
        <v>352</v>
      </c>
      <c r="H2877" s="4" t="n">
        <v>106</v>
      </c>
      <c r="I2877" s="5" t="n">
        <v>66</v>
      </c>
      <c r="J2877" s="5" t="n">
        <v>25.9</v>
      </c>
      <c r="K2877" s="3" t="inlineStr">
        <is>
          <t>심중리 계획관리지역, 현재 기지국설치로 연 280만원 수익</t>
        </is>
      </c>
      <c r="L2877" s="6">
        <f>HYPERLINK("https://fin.land.naver.com/articles/2655393309", "매물Link")</f>
        <v/>
      </c>
      <c r="M2877" s="6">
        <f>HYPERLINK("https://map.naver.com/p/search/전동면 심중리 191-1", "지도Link")</f>
        <v/>
      </c>
      <c r="N2877" s="6">
        <f>HYPERLINK("http://www.eum.go.kr/web/ar/lu/luLandDet.jsp?pnu=3611038031101910001&amp;isNoScr=script&amp;mode=search", "토지이음")</f>
        <v/>
      </c>
      <c r="O2877" s="3" t="inlineStr">
        <is>
          <t>KB세종</t>
        </is>
      </c>
      <c r="P2877" s="4" t="n">
        <v>1</v>
      </c>
      <c r="Q2877" s="4" t="n">
        <v>352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전동면 심중리 200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65000</v>
      </c>
      <c r="G2878" s="4" t="n">
        <v>2039</v>
      </c>
      <c r="H2878" s="4" t="n">
        <v>617</v>
      </c>
      <c r="I2878" s="5" t="n">
        <v>105.3</v>
      </c>
      <c r="J2878" s="5" t="n">
        <v>33.4</v>
      </c>
      <c r="K2878" s="3" t="inlineStr">
        <is>
          <t>nan</t>
        </is>
      </c>
      <c r="L2878" s="6">
        <f>HYPERLINK("https://fin.land.naver.com/articles/2655257491", "매물Link")</f>
        <v/>
      </c>
      <c r="M2878" s="6">
        <f>HYPERLINK("https://map.naver.com/p/search/전동면 심중리 200", "지도Link")</f>
        <v/>
      </c>
      <c r="N2878" s="6">
        <f>HYPERLINK("http://www.eum.go.kr/web/ar/lu/luLandDet.jsp?pnu=3611038031102000000&amp;isNoScr=script&amp;mode=search", "토지이음")</f>
        <v/>
      </c>
      <c r="O2878" s="3" t="inlineStr">
        <is>
          <t>이서방</t>
        </is>
      </c>
      <c r="P2878" s="4" t="n">
        <v>1</v>
      </c>
      <c r="Q2878" s="4" t="n">
        <v>2039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평지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전동면 심중리 205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65000</v>
      </c>
      <c r="G2879" s="4" t="n">
        <v>2248</v>
      </c>
      <c r="H2879" s="4" t="n">
        <v>680</v>
      </c>
      <c r="I2879" s="5" t="n">
        <v>95.59999999999999</v>
      </c>
      <c r="J2879" s="5" t="n">
        <v>27.1</v>
      </c>
      <c r="K2879" s="3" t="inlineStr">
        <is>
          <t>세종시 귀한 계획관리 토지임</t>
        </is>
      </c>
      <c r="L2879" s="6">
        <f>HYPERLINK("https://fin.land.naver.com/articles/2651170755", "매물Link")</f>
        <v/>
      </c>
      <c r="M2879" s="6">
        <f>HYPERLINK("https://map.naver.com/p/search/전동면 심중리 205", "지도Link")</f>
        <v/>
      </c>
      <c r="N2879" s="6">
        <f>HYPERLINK("http://www.eum.go.kr/web/ar/lu/luLandDet.jsp?pnu=3611038031102050000&amp;isNoScr=script&amp;mode=search", "토지이음")</f>
        <v/>
      </c>
      <c r="O2879" s="3" t="inlineStr">
        <is>
          <t>드림</t>
        </is>
      </c>
      <c r="P2879" s="4" t="n">
        <v>1</v>
      </c>
      <c r="Q2879" s="4" t="n">
        <v>555</v>
      </c>
      <c r="R2879" s="3" t="inlineStr">
        <is>
          <t>지정되지않음</t>
        </is>
      </c>
      <c r="S2879" s="3" t="inlineStr">
        <is>
          <t>과수원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전동면 심중리 289-1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58000</v>
      </c>
      <c r="G2880" s="4" t="n">
        <v>2210</v>
      </c>
      <c r="H2880" s="4" t="n">
        <v>669</v>
      </c>
      <c r="I2880" s="5" t="n">
        <v>86.7</v>
      </c>
      <c r="J2880" s="5" t="n">
        <v>24.2</v>
      </c>
      <c r="K2880" s="3" t="inlineStr">
        <is>
          <t>주말농장 창고추천</t>
        </is>
      </c>
      <c r="L2880" s="6">
        <f>HYPERLINK("https://fin.land.naver.com/articles/2656628720", "매물Link")</f>
        <v/>
      </c>
      <c r="M2880" s="6">
        <f>HYPERLINK("https://map.naver.com/p/search/전동면 심중리 289-1", "지도Link")</f>
        <v/>
      </c>
      <c r="N2880" s="6">
        <f>HYPERLINK("http://www.eum.go.kr/web/ar/lu/luLandDet.jsp?pnu=3611038031102890001&amp;isNoScr=script&amp;mode=search", "토지이음")</f>
        <v/>
      </c>
      <c r="O2880" s="3" t="inlineStr">
        <is>
          <t>학사</t>
        </is>
      </c>
      <c r="P2880" s="4" t="n">
        <v>1</v>
      </c>
      <c r="Q2880" s="4" t="n">
        <v>2210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전동면 심중리 379-1</t>
        </is>
      </c>
      <c r="B2881" s="3" t="inlineStr">
        <is>
          <t>계획관리지역</t>
        </is>
      </c>
      <c r="C2881" s="3" t="inlineStr">
        <is>
          <t>목장용지</t>
        </is>
      </c>
      <c r="D2881" s="3" t="inlineStr">
        <is>
          <t>목장용지</t>
        </is>
      </c>
      <c r="E2881" s="3" t="inlineStr">
        <is>
          <t>매매</t>
        </is>
      </c>
      <c r="F2881" s="4" t="n">
        <v>400000</v>
      </c>
      <c r="G2881" s="4" t="n">
        <v>21554</v>
      </c>
      <c r="H2881" s="4" t="n">
        <v>6520</v>
      </c>
      <c r="I2881" s="5" t="n">
        <v>61.3</v>
      </c>
      <c r="J2881" s="5" t="n">
        <v>28.6</v>
      </c>
      <c r="K2881" s="3" t="inlineStr">
        <is>
          <t>세종벤처밸리일반산업단지 맞은편 투자가치 높은 계획관리 귀한 토지</t>
        </is>
      </c>
      <c r="L2881" s="6">
        <f>HYPERLINK("https://fin.land.naver.com/articles/2651817111", "매물Link")</f>
        <v/>
      </c>
      <c r="M2881" s="6">
        <f>HYPERLINK("https://map.naver.com/p/search/전동면 심중리 379-1", "지도Link")</f>
        <v/>
      </c>
      <c r="N2881" s="6">
        <f>HYPERLINK("http://www.eum.go.kr/web/ar/lu/luLandDet.jsp?pnu=3611038031103790001&amp;isNoScr=script&amp;mode=search", "토지이음")</f>
        <v/>
      </c>
      <c r="O2881" s="3" t="inlineStr">
        <is>
          <t>번영</t>
        </is>
      </c>
      <c r="P2881" s="4" t="n">
        <v>1</v>
      </c>
      <c r="Q2881" s="4" t="n">
        <v>790</v>
      </c>
      <c r="R2881" s="3" t="inlineStr">
        <is>
          <t>지정되지않음</t>
        </is>
      </c>
      <c r="S2881" s="3" t="inlineStr">
        <is>
          <t>전축사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전동면 심중리 391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44600</v>
      </c>
      <c r="G2882" s="4" t="n">
        <v>2110</v>
      </c>
      <c r="H2882" s="4" t="n">
        <v>638</v>
      </c>
      <c r="I2882" s="5" t="n">
        <v>69.90000000000001</v>
      </c>
      <c r="J2882" s="5" t="n">
        <v>18.3</v>
      </c>
      <c r="K2882" s="3" t="inlineStr">
        <is>
          <t>계획관리 답,현재과수원,농막있음.대토추천</t>
        </is>
      </c>
      <c r="L2882" s="6">
        <f>HYPERLINK("https://fin.land.naver.com/articles/2651385415", "매물Link")</f>
        <v/>
      </c>
      <c r="M2882" s="6">
        <f>HYPERLINK("https://map.naver.com/p/search/전동면 심중리 391", "지도Link")</f>
        <v/>
      </c>
      <c r="N2882" s="6">
        <f>HYPERLINK("http://www.eum.go.kr/web/ar/lu/luLandDet.jsp?pnu=3611038031103910000&amp;isNoScr=script&amp;mode=search", "토지이음")</f>
        <v/>
      </c>
      <c r="O2882" s="3" t="inlineStr">
        <is>
          <t>신안무소</t>
        </is>
      </c>
      <c r="P2882" s="4" t="n">
        <v>1</v>
      </c>
      <c r="Q2882" s="4" t="n">
        <v>2110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전동면 심중리 391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45000</v>
      </c>
      <c r="G2883" s="4" t="n">
        <v>2109</v>
      </c>
      <c r="H2883" s="4" t="n">
        <v>638</v>
      </c>
      <c r="I2883" s="5" t="n">
        <v>70.5</v>
      </c>
      <c r="J2883" s="5" t="n">
        <v>18.3</v>
      </c>
      <c r="K2883" s="3" t="inlineStr">
        <is>
          <t>도로따라 긴토지 매매</t>
        </is>
      </c>
      <c r="L2883" s="6">
        <f>HYPERLINK("https://fin.land.naver.com/articles/2653195490", "매물Link")</f>
        <v/>
      </c>
      <c r="M2883" s="6">
        <f>HYPERLINK("https://map.naver.com/p/search/전동면 심중리 391", "지도Link")</f>
        <v/>
      </c>
      <c r="N2883" s="6">
        <f>HYPERLINK("http://www.eum.go.kr/web/ar/lu/luLandDet.jsp?pnu=3611038031103910000&amp;isNoScr=script&amp;mode=search", "토지이음")</f>
        <v/>
      </c>
      <c r="O2883" s="3" t="inlineStr">
        <is>
          <t>THE행복</t>
        </is>
      </c>
      <c r="P2883" s="4" t="n">
        <v>2</v>
      </c>
      <c r="Q2883" s="4" t="n">
        <v>2110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전동면 심중리 4</t>
        </is>
      </c>
      <c r="B2884" s="3" t="inlineStr">
        <is>
          <t>계획관리지역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40000</v>
      </c>
      <c r="G2884" s="4" t="n">
        <v>2285</v>
      </c>
      <c r="H2884" s="4" t="n">
        <v>691</v>
      </c>
      <c r="I2884" s="5" t="n">
        <v>57.9</v>
      </c>
      <c r="J2884" s="5" t="n">
        <v>20.8</v>
      </c>
      <c r="K2884" s="3" t="inlineStr">
        <is>
          <t>계획관리지역 , 세종시시민스포츠센터인 세컨하우스 및 농장</t>
        </is>
      </c>
      <c r="L2884" s="6">
        <f>HYPERLINK("https://fin.land.naver.com/articles/2653734293", "매물Link")</f>
        <v/>
      </c>
      <c r="M2884" s="6">
        <f>HYPERLINK("https://map.naver.com/p/search/전동면 심중리 4", "지도Link")</f>
        <v/>
      </c>
      <c r="N2884" s="6">
        <f>HYPERLINK("http://www.eum.go.kr/web/ar/lu/luLandDet.jsp?pnu=3611038031100040000&amp;isNoScr=script&amp;mode=search", "토지이음")</f>
        <v/>
      </c>
      <c r="O2884" s="3" t="inlineStr">
        <is>
          <t>금온(ON)</t>
        </is>
      </c>
      <c r="P2884" s="4" t="n">
        <v>1</v>
      </c>
      <c r="Q2884" s="4" t="n">
        <v>660</v>
      </c>
      <c r="R2884" s="3" t="inlineStr">
        <is>
          <t>지정되지않음</t>
        </is>
      </c>
      <c r="S2884" s="3" t="inlineStr">
        <is>
          <t>단독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전동면 심중리 407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15000</v>
      </c>
      <c r="G2885" s="4" t="n">
        <v>807</v>
      </c>
      <c r="H2885" s="4" t="n">
        <v>244</v>
      </c>
      <c r="I2885" s="5" t="n">
        <v>61.5</v>
      </c>
      <c r="J2885" s="5" t="n">
        <v>21.9</v>
      </c>
      <c r="K2885" s="3" t="inlineStr">
        <is>
          <t>남향,주말농장,전원주택추천</t>
        </is>
      </c>
      <c r="L2885" s="6">
        <f>HYPERLINK("https://fin.land.naver.com/articles/2651708281", "매물Link")</f>
        <v/>
      </c>
      <c r="M2885" s="6">
        <f>HYPERLINK("https://map.naver.com/p/search/전동면 심중리 407", "지도Link")</f>
        <v/>
      </c>
      <c r="N2885" s="6">
        <f>HYPERLINK("http://www.eum.go.kr/web/ar/lu/luLandDet.jsp?pnu=3611038031104070000&amp;isNoScr=script&amp;mode=search", "토지이음")</f>
        <v/>
      </c>
      <c r="O2885" s="3" t="inlineStr">
        <is>
          <t>OK수</t>
        </is>
      </c>
      <c r="P2885" s="4" t="n">
        <v>1</v>
      </c>
      <c r="Q2885" s="4" t="n">
        <v>807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전동면 심중리 407-1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743</v>
      </c>
      <c r="H2886" s="4" t="n">
        <v>225</v>
      </c>
      <c r="I2886" s="5" t="n">
        <v>71.09999999999999</v>
      </c>
      <c r="J2886" s="5" t="n">
        <v>23</v>
      </c>
      <c r="K2886" s="3" t="inlineStr">
        <is>
          <t>세종 심중리   관리하기 좋은 농지</t>
        </is>
      </c>
      <c r="L2886" s="6">
        <f>HYPERLINK("https://fin.land.naver.com/articles/2654214850", "매물Link")</f>
        <v/>
      </c>
      <c r="M2886" s="6">
        <f>HYPERLINK("https://map.naver.com/p/search/전동면 심중리 407-1", "지도Link")</f>
        <v/>
      </c>
      <c r="N2886" s="6">
        <f>HYPERLINK("http://www.eum.go.kr/web/ar/lu/luLandDet.jsp?pnu=3611038031104070001&amp;isNoScr=script&amp;mode=search", "토지이음")</f>
        <v/>
      </c>
      <c r="O2886" s="3" t="inlineStr">
        <is>
          <t>세종몽땅</t>
        </is>
      </c>
      <c r="P2886" s="4" t="n">
        <v>1</v>
      </c>
      <c r="Q2886" s="4" t="n">
        <v>743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완경사</t>
        </is>
      </c>
      <c r="U2886" s="3" t="inlineStr">
        <is>
          <t>사다리형</t>
        </is>
      </c>
      <c r="V2886" s="3" t="inlineStr">
        <is>
          <t>세로한면(가)</t>
        </is>
      </c>
    </row>
    <row r="2887">
      <c r="A2887" s="3" t="inlineStr">
        <is>
          <t>전동면 심중리 407-1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13000</v>
      </c>
      <c r="G2887" s="4" t="n">
        <v>743</v>
      </c>
      <c r="H2887" s="4" t="n">
        <v>225</v>
      </c>
      <c r="I2887" s="5" t="n">
        <v>57.8</v>
      </c>
      <c r="J2887" s="5" t="n">
        <v>23</v>
      </c>
      <c r="K2887" s="3" t="inlineStr">
        <is>
          <t>급매,2면 도로접 계획관리지역,산조망권 뷰,다용도 사용 가능,투자용 추천</t>
        </is>
      </c>
      <c r="L2887" s="6">
        <f>HYPERLINK("https://fin.land.naver.com/articles/2653336516", "매물Link")</f>
        <v/>
      </c>
      <c r="M2887" s="6">
        <f>HYPERLINK("https://map.naver.com/p/search/전동면 심중리 407-1", "지도Link")</f>
        <v/>
      </c>
      <c r="N2887" s="6">
        <f>HYPERLINK("http://www.eum.go.kr/web/ar/lu/luLandDet.jsp?pnu=3611038031104070001&amp;isNoScr=script&amp;mode=search", "토지이음")</f>
        <v/>
      </c>
      <c r="O2887" s="3" t="inlineStr">
        <is>
          <t>고운맘</t>
        </is>
      </c>
      <c r="P2887" s="4" t="n">
        <v>1</v>
      </c>
      <c r="Q2887" s="4" t="n">
        <v>743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완경사</t>
        </is>
      </c>
      <c r="U2887" s="3" t="inlineStr">
        <is>
          <t>사다리형</t>
        </is>
      </c>
      <c r="V2887" s="3" t="inlineStr">
        <is>
          <t>세로한면(가)</t>
        </is>
      </c>
    </row>
    <row r="2888">
      <c r="A2888" s="3" t="inlineStr">
        <is>
          <t>전동면 심중리 407-1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13000</v>
      </c>
      <c r="G2888" s="4" t="n">
        <v>743</v>
      </c>
      <c r="H2888" s="4" t="n">
        <v>225</v>
      </c>
      <c r="I2888" s="5" t="n">
        <v>57.8</v>
      </c>
      <c r="J2888" s="5" t="n">
        <v>23</v>
      </c>
      <c r="K2888" s="3" t="inlineStr">
        <is>
          <t>급매 계획관리토지,개발,주말농장 등</t>
        </is>
      </c>
      <c r="L2888" s="6">
        <f>HYPERLINK("https://fin.land.naver.com/articles/2655032773", "매물Link")</f>
        <v/>
      </c>
      <c r="M2888" s="6">
        <f>HYPERLINK("https://map.naver.com/p/search/전동면 심중리 407-1", "지도Link")</f>
        <v/>
      </c>
      <c r="N2888" s="6">
        <f>HYPERLINK("http://www.eum.go.kr/web/ar/lu/luLandDet.jsp?pnu=3611038031104070001&amp;isNoScr=script&amp;mode=search", "토지이음")</f>
        <v/>
      </c>
      <c r="O2888" s="3" t="inlineStr">
        <is>
          <t>세종대박</t>
        </is>
      </c>
      <c r="P2888" s="4" t="n">
        <v>2</v>
      </c>
      <c r="Q2888" s="4" t="n">
        <v>743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전동면 심중리 407-1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13000</v>
      </c>
      <c r="G2889" s="4" t="n">
        <v>743</v>
      </c>
      <c r="H2889" s="4" t="n">
        <v>225</v>
      </c>
      <c r="I2889" s="5" t="n">
        <v>57.8</v>
      </c>
      <c r="J2889" s="5" t="n">
        <v>23</v>
      </c>
      <c r="K2889" s="3" t="inlineStr">
        <is>
          <t>저렴한토지 매매 계획관리지역</t>
        </is>
      </c>
      <c r="L2889" s="6">
        <f>HYPERLINK("https://fin.land.naver.com/articles/2654661329", "매물Link")</f>
        <v/>
      </c>
      <c r="M2889" s="6">
        <f>HYPERLINK("https://map.naver.com/p/search/전동면 심중리 407-1", "지도Link")</f>
        <v/>
      </c>
      <c r="N2889" s="6">
        <f>HYPERLINK("http://www.eum.go.kr/web/ar/lu/luLandDet.jsp?pnu=3611038031104070001&amp;isNoScr=script&amp;mode=search", "토지이음")</f>
        <v/>
      </c>
      <c r="O2889" s="3" t="inlineStr">
        <is>
          <t>세종부부</t>
        </is>
      </c>
      <c r="P2889" s="4" t="n">
        <v>1</v>
      </c>
      <c r="Q2889" s="4" t="n">
        <v>743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세로한면(가)</t>
        </is>
      </c>
    </row>
    <row r="2890">
      <c r="A2890" s="3" t="inlineStr">
        <is>
          <t>전동면 심중리 408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19000</v>
      </c>
      <c r="G2890" s="4" t="n">
        <v>1785</v>
      </c>
      <c r="H2890" s="4" t="n">
        <v>540</v>
      </c>
      <c r="I2890" s="5" t="n">
        <v>35.2</v>
      </c>
      <c r="J2890" s="5" t="n">
        <v>22.7</v>
      </c>
      <c r="K2890" s="3" t="inlineStr">
        <is>
          <t>계획관리 답 급매입니다. 대토 추천,조용하고 한가로운 곳으로 주말쉼터추천</t>
        </is>
      </c>
      <c r="L2890" s="6">
        <f>HYPERLINK("https://fin.land.naver.com/articles/2656678522", "매물Link")</f>
        <v/>
      </c>
      <c r="M2890" s="6">
        <f>HYPERLINK("https://map.naver.com/p/search/전동면 심중리 408", "지도Link")</f>
        <v/>
      </c>
      <c r="N2890" s="6">
        <f>HYPERLINK("http://www.eum.go.kr/web/ar/lu/luLandDet.jsp?pnu=3611038031104080000&amp;isNoScr=script&amp;mode=search", "토지이음")</f>
        <v/>
      </c>
      <c r="O2890" s="3" t="inlineStr">
        <is>
          <t>신안무소</t>
        </is>
      </c>
      <c r="P2890" s="4" t="n">
        <v>1</v>
      </c>
      <c r="Q2890" s="4" t="n">
        <v>1785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전동면 심중리 408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20000</v>
      </c>
      <c r="G2891" s="4" t="n">
        <v>1785</v>
      </c>
      <c r="H2891" s="4" t="n">
        <v>540</v>
      </c>
      <c r="I2891" s="5" t="n">
        <v>37</v>
      </c>
      <c r="J2891" s="5" t="n">
        <v>22.7</v>
      </c>
      <c r="K2891" s="3" t="inlineStr">
        <is>
          <t>도로 접, 환한 토지, 계획관리, 지목 답, 전원생활 개발가능한 토지 급</t>
        </is>
      </c>
      <c r="L2891" s="6">
        <f>HYPERLINK("https://fin.land.naver.com/articles/2656381998", "매물Link")</f>
        <v/>
      </c>
      <c r="M2891" s="6">
        <f>HYPERLINK("https://map.naver.com/p/search/전동면 심중리 408", "지도Link")</f>
        <v/>
      </c>
      <c r="N2891" s="6">
        <f>HYPERLINK("http://www.eum.go.kr/web/ar/lu/luLandDet.jsp?pnu=3611038031104080000&amp;isNoScr=script&amp;mode=search", "토지이음")</f>
        <v/>
      </c>
      <c r="O2891" s="3" t="inlineStr">
        <is>
          <t>OK파라곤</t>
        </is>
      </c>
      <c r="P2891" s="4" t="n">
        <v>2</v>
      </c>
      <c r="Q2891" s="4" t="n">
        <v>1785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전동면 심중리 461-3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전</t>
        </is>
      </c>
      <c r="E2892" s="3" t="inlineStr">
        <is>
          <t>매매</t>
        </is>
      </c>
      <c r="F2892" s="4" t="n">
        <v>33000</v>
      </c>
      <c r="G2892" s="4" t="n">
        <v>1157</v>
      </c>
      <c r="H2892" s="4" t="n">
        <v>350</v>
      </c>
      <c r="I2892" s="5" t="n">
        <v>94.3</v>
      </c>
      <c r="J2892" s="5" t="n">
        <v>22</v>
      </c>
      <c r="K2892" s="3" t="inlineStr">
        <is>
          <t>전동면 심중리 단독부지 조용한 전원생활 최적지, 포장도로접</t>
        </is>
      </c>
      <c r="L2892" s="6">
        <f>HYPERLINK("https://fin.land.naver.com/articles/2656442978", "매물Link")</f>
        <v/>
      </c>
      <c r="M2892" s="6">
        <f>HYPERLINK("https://map.naver.com/p/search/전동면 심중리 461-3", "지도Link")</f>
        <v/>
      </c>
      <c r="N2892" s="6">
        <f>HYPERLINK("http://www.eum.go.kr/web/ar/lu/luLandDet.jsp?pnu=3611038031104610003&amp;isNoScr=script&amp;mode=search", "토지이음")</f>
        <v/>
      </c>
      <c r="O2892" s="3" t="inlineStr">
        <is>
          <t>세종공감</t>
        </is>
      </c>
      <c r="P2892" s="4" t="n">
        <v>1</v>
      </c>
      <c r="Q2892" s="4" t="n">
        <v>714</v>
      </c>
      <c r="R2892" s="3" t="inlineStr">
        <is>
          <t>지정되지않음</t>
        </is>
      </c>
      <c r="S2892" s="3" t="inlineStr">
        <is>
          <t>전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맹지</t>
        </is>
      </c>
    </row>
    <row r="2893">
      <c r="A2893" s="3" t="inlineStr">
        <is>
          <t>전동면 심중리 463-1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87500</v>
      </c>
      <c r="G2893" s="4" t="n">
        <v>826</v>
      </c>
      <c r="H2893" s="4" t="n">
        <v>250</v>
      </c>
      <c r="I2893" s="5" t="n">
        <v>350</v>
      </c>
      <c r="J2893" s="5" t="n">
        <v>32.5</v>
      </c>
      <c r="K2893" s="3" t="inlineStr">
        <is>
          <t>세종벤처밸리산업단지 인근의 포장도로에 접한 계획관리지역의 정사각형모양 전</t>
        </is>
      </c>
      <c r="L2893" s="6">
        <f>HYPERLINK("https://fin.land.naver.com/articles/2656247163", "매물Link")</f>
        <v/>
      </c>
      <c r="M2893" s="6">
        <f>HYPERLINK("https://map.naver.com/p/search/전동면 심중리 463-1", "지도Link")</f>
        <v/>
      </c>
      <c r="N2893" s="6">
        <f>HYPERLINK("http://www.eum.go.kr/web/ar/lu/luLandDet.jsp?pnu=3611038031104630001&amp;isNoScr=script&amp;mode=search", "토지이음")</f>
        <v/>
      </c>
      <c r="O2893" s="3" t="inlineStr">
        <is>
          <t>스마일세종</t>
        </is>
      </c>
      <c r="P2893" s="4" t="n">
        <v>1</v>
      </c>
      <c r="Q2893" s="4" t="n">
        <v>826</v>
      </c>
      <c r="R2893" s="3" t="inlineStr">
        <is>
          <t>지정되지않음</t>
        </is>
      </c>
      <c r="S2893" s="3" t="inlineStr">
        <is>
          <t>과수원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소로한면</t>
        </is>
      </c>
    </row>
    <row r="2894">
      <c r="A2894" s="3" t="inlineStr">
        <is>
          <t>전동면 심중리 산72</t>
        </is>
      </c>
      <c r="B2894" s="3" t="inlineStr">
        <is>
          <t>보전관리지역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430000</v>
      </c>
      <c r="G2894" s="4" t="n">
        <v>79553</v>
      </c>
      <c r="H2894" s="4" t="n">
        <v>24065</v>
      </c>
      <c r="I2894" s="5" t="n">
        <v>17.9</v>
      </c>
      <c r="J2894" s="5" t="n">
        <v>3.5</v>
      </c>
      <c r="K2894" s="3" t="inlineStr">
        <is>
          <t>nan</t>
        </is>
      </c>
      <c r="L2894" s="6">
        <f>HYPERLINK("https://fin.land.naver.com/articles/2653435385", "매물Link")</f>
        <v/>
      </c>
      <c r="M2894" s="6">
        <f>HYPERLINK("https://map.naver.com/p/search/전동면 심중리 산72", "지도Link")</f>
        <v/>
      </c>
      <c r="N2894" s="6">
        <f>HYPERLINK("http://www.eum.go.kr/web/ar/lu/luLandDet.jsp?pnu=3611038031200720000&amp;isNoScr=script&amp;mode=search", "토지이음")</f>
        <v/>
      </c>
      <c r="O2894" s="3" t="inlineStr">
        <is>
          <t>운산</t>
        </is>
      </c>
      <c r="P2894" s="4" t="n">
        <v>1</v>
      </c>
      <c r="Q2894" s="4" t="n">
        <v>79553</v>
      </c>
      <c r="R2894" s="3" t="inlineStr">
        <is>
          <t>농림지역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전동면 청람리 115-4</t>
        </is>
      </c>
      <c r="B2895" s="3" t="inlineStr">
        <is>
          <t>보전관리지역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103000</v>
      </c>
      <c r="G2895" s="4" t="n">
        <v>1697</v>
      </c>
      <c r="H2895" s="4" t="n">
        <v>513</v>
      </c>
      <c r="I2895" s="5" t="n">
        <v>200.8</v>
      </c>
      <c r="J2895" s="5" t="n">
        <v>26.5</v>
      </c>
      <c r="K2895" s="3" t="inlineStr">
        <is>
          <t>대지, 건축가능카페 등</t>
        </is>
      </c>
      <c r="L2895" s="6">
        <f>HYPERLINK("https://fin.land.naver.com/articles/2655032823", "매물Link")</f>
        <v/>
      </c>
      <c r="M2895" s="6">
        <f>HYPERLINK("https://map.naver.com/p/search/전동면 청람리 115-4", "지도Link")</f>
        <v/>
      </c>
      <c r="N2895" s="6">
        <f>HYPERLINK("http://www.eum.go.kr/web/ar/lu/luLandDet.jsp?pnu=3611038028101150004&amp;isNoScr=script&amp;mode=search", "토지이음")</f>
        <v/>
      </c>
      <c r="O2895" s="3" t="inlineStr">
        <is>
          <t>세종대박</t>
        </is>
      </c>
      <c r="P2895" s="4" t="n">
        <v>1</v>
      </c>
      <c r="Q2895" s="4" t="n">
        <v>500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전동면 청람리 173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20000</v>
      </c>
      <c r="G2896" s="4" t="n">
        <v>1451</v>
      </c>
      <c r="H2896" s="4" t="n">
        <v>439</v>
      </c>
      <c r="I2896" s="5" t="n">
        <v>45.6</v>
      </c>
      <c r="J2896" s="5" t="n">
        <v>21.7</v>
      </c>
      <c r="K2896" s="3" t="inlineStr">
        <is>
          <t>대토 및 장기투자</t>
        </is>
      </c>
      <c r="L2896" s="6">
        <f>HYPERLINK("https://fin.land.naver.com/articles/2652070783", "매물Link")</f>
        <v/>
      </c>
      <c r="M2896" s="6">
        <f>HYPERLINK("https://map.naver.com/p/search/전동면 청람리 173", "지도Link")</f>
        <v/>
      </c>
      <c r="N2896" s="6">
        <f>HYPERLINK("http://www.eum.go.kr/web/ar/lu/luLandDet.jsp?pnu=3611038028101730000&amp;isNoScr=script&amp;mode=search", "토지이음")</f>
        <v/>
      </c>
      <c r="O2896" s="3" t="inlineStr">
        <is>
          <t>연동스카이</t>
        </is>
      </c>
      <c r="P2896" s="4" t="n">
        <v>1</v>
      </c>
      <c r="Q2896" s="4" t="n">
        <v>1451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가로장방</t>
        </is>
      </c>
      <c r="V2896" s="3" t="inlineStr">
        <is>
          <t>세로한면(가)</t>
        </is>
      </c>
    </row>
    <row r="2897">
      <c r="A2897" s="3" t="inlineStr">
        <is>
          <t>전동면 청람리 174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14500</v>
      </c>
      <c r="G2897" s="4" t="n">
        <v>1732</v>
      </c>
      <c r="H2897" s="4" t="n">
        <v>524</v>
      </c>
      <c r="I2897" s="5" t="n">
        <v>27.7</v>
      </c>
      <c r="J2897" s="5" t="n">
        <v>17.7</v>
      </c>
      <c r="K2897" s="3" t="inlineStr">
        <is>
          <t>Point 시세보다 저렴, 투자 추천, 제2경부 연기IC,산단 입주 호재</t>
        </is>
      </c>
      <c r="L2897" s="6">
        <f>HYPERLINK("https://fin.land.naver.com/articles/2654340488", "매물Link")</f>
        <v/>
      </c>
      <c r="M2897" s="6">
        <f>HYPERLINK("https://map.naver.com/p/search/전동면 청람리 174", "지도Link")</f>
        <v/>
      </c>
      <c r="N2897" s="6">
        <f>HYPERLINK("http://www.eum.go.kr/web/ar/lu/luLandDet.jsp?pnu=3611038028101740000&amp;isNoScr=script&amp;mode=search", "토지이음")</f>
        <v/>
      </c>
      <c r="O2897" s="3" t="inlineStr">
        <is>
          <t>도마호반</t>
        </is>
      </c>
      <c r="P2897" s="4" t="n">
        <v>1</v>
      </c>
      <c r="Q2897" s="4" t="n">
        <v>1732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맹지</t>
        </is>
      </c>
    </row>
    <row r="2898">
      <c r="A2898" s="3" t="inlineStr">
        <is>
          <t>전동면 청람리 204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34700</v>
      </c>
      <c r="G2898" s="4" t="n">
        <v>1150</v>
      </c>
      <c r="H2898" s="4" t="n">
        <v>348</v>
      </c>
      <c r="I2898" s="5" t="n">
        <v>99.7</v>
      </c>
      <c r="J2898" s="5" t="n">
        <v>17.7</v>
      </c>
      <c r="K2898" s="3" t="inlineStr">
        <is>
          <t>옹벽을 설치하여 전원주택 2채 정도를 지을 수 있는 생산관리지역의 전</t>
        </is>
      </c>
      <c r="L2898" s="6">
        <f>HYPERLINK("https://fin.land.naver.com/articles/2654107863", "매물Link")</f>
        <v/>
      </c>
      <c r="M2898" s="6">
        <f>HYPERLINK("https://map.naver.com/p/search/전동면 청람리 204", "지도Link")</f>
        <v/>
      </c>
      <c r="N2898" s="6">
        <f>HYPERLINK("http://www.eum.go.kr/web/ar/lu/luLandDet.jsp?pnu=3611038028102040000&amp;isNoScr=script&amp;mode=search", "토지이음")</f>
        <v/>
      </c>
      <c r="O2898" s="3" t="inlineStr">
        <is>
          <t>스마일세종</t>
        </is>
      </c>
      <c r="P2898" s="4" t="n">
        <v>1</v>
      </c>
      <c r="Q2898" s="4" t="n">
        <v>1150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전동면 청람리 216-6</t>
        </is>
      </c>
      <c r="B2899" s="3" t="inlineStr">
        <is>
          <t>생산관리지역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36000</v>
      </c>
      <c r="G2899" s="4" t="n">
        <v>3967</v>
      </c>
      <c r="H2899" s="4" t="n">
        <v>1200</v>
      </c>
      <c r="I2899" s="5" t="n">
        <v>30</v>
      </c>
      <c r="J2899" s="5" t="n">
        <v>12</v>
      </c>
      <c r="K2899" s="3" t="inlineStr">
        <is>
          <t>가격조율가능,세종벤처밸리 일반산업단지 인접, 연기IC예정지 근접</t>
        </is>
      </c>
      <c r="L2899" s="6">
        <f>HYPERLINK("https://fin.land.naver.com/articles/2651463700", "매물Link")</f>
        <v/>
      </c>
      <c r="M2899" s="6">
        <f>HYPERLINK("https://map.naver.com/p/search/전동면 청람리 216-6", "지도Link")</f>
        <v/>
      </c>
      <c r="N2899" s="6">
        <f>HYPERLINK("http://www.eum.go.kr/web/ar/lu/luLandDet.jsp?pnu=3611038028102160006&amp;isNoScr=script&amp;mode=search", "토지이음")</f>
        <v/>
      </c>
      <c r="O2899" s="3" t="inlineStr">
        <is>
          <t>담뜰</t>
        </is>
      </c>
      <c r="P2899" s="4" t="n">
        <v>1</v>
      </c>
      <c r="Q2899" s="4" t="n">
        <v>3535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전동면 청람리 216-6</t>
        </is>
      </c>
      <c r="B2900" s="3" t="inlineStr">
        <is>
          <t>생산관리지역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36000</v>
      </c>
      <c r="G2900" s="4" t="n">
        <v>3967</v>
      </c>
      <c r="H2900" s="4" t="n">
        <v>1200</v>
      </c>
      <c r="I2900" s="5" t="n">
        <v>30</v>
      </c>
      <c r="J2900" s="5" t="n">
        <v>12</v>
      </c>
      <c r="K2900" s="3" t="inlineStr">
        <is>
          <t>도로접 막힘없는 조망권뷰 최상,가족 및 종중묘자리,가격조정가능</t>
        </is>
      </c>
      <c r="L2900" s="6">
        <f>HYPERLINK("https://fin.land.naver.com/articles/2651450198", "매물Link")</f>
        <v/>
      </c>
      <c r="M2900" s="6">
        <f>HYPERLINK("https://map.naver.com/p/search/전동면 청람리 216-6", "지도Link")</f>
        <v/>
      </c>
      <c r="N2900" s="6">
        <f>HYPERLINK("http://www.eum.go.kr/web/ar/lu/luLandDet.jsp?pnu=3611038028102160006&amp;isNoScr=script&amp;mode=search", "토지이음")</f>
        <v/>
      </c>
      <c r="O2900" s="3" t="inlineStr">
        <is>
          <t>고운맘</t>
        </is>
      </c>
      <c r="P2900" s="4" t="n">
        <v>1</v>
      </c>
      <c r="Q2900" s="4" t="n">
        <v>3535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전동면 청람리 228-2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5500</v>
      </c>
      <c r="G2901" s="4" t="n">
        <v>232</v>
      </c>
      <c r="H2901" s="4" t="n">
        <v>70</v>
      </c>
      <c r="I2901" s="5" t="n">
        <v>78.59999999999999</v>
      </c>
      <c r="J2901" s="5" t="n">
        <v>37.9</v>
      </c>
      <c r="K2901" s="3" t="inlineStr">
        <is>
          <t>지자체에서 포장한 진입로 있는 계획관리지역 나대지,저렴한 토지</t>
        </is>
      </c>
      <c r="L2901" s="6">
        <f>HYPERLINK("https://fin.land.naver.com/articles/2655149081", "매물Link")</f>
        <v/>
      </c>
      <c r="M2901" s="6">
        <f>HYPERLINK("https://map.naver.com/p/search/전동면 청람리 228-2", "지도Link")</f>
        <v/>
      </c>
      <c r="N2901" s="6">
        <f>HYPERLINK("http://www.eum.go.kr/web/ar/lu/luLandDet.jsp?pnu=3611038028102280002&amp;isNoScr=script&amp;mode=search", "토지이음")</f>
        <v/>
      </c>
      <c r="O2901" s="3" t="inlineStr">
        <is>
          <t>유정희</t>
        </is>
      </c>
      <c r="P2901" s="4" t="n">
        <v>1</v>
      </c>
      <c r="Q2901" s="4" t="n">
        <v>232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전동면 청람리 248</t>
        </is>
      </c>
      <c r="B2902" s="3" t="inlineStr">
        <is>
          <t>계획관리지역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30000</v>
      </c>
      <c r="G2902" s="4" t="n">
        <v>843</v>
      </c>
      <c r="H2902" s="4" t="n">
        <v>255</v>
      </c>
      <c r="I2902" s="5" t="n">
        <v>117.6</v>
      </c>
      <c r="J2902" s="5" t="n">
        <v>35.9</v>
      </c>
      <c r="K2902" s="3" t="inlineStr">
        <is>
          <t>청람리에 있는 마을 안길에 접해있는 계획관리지역의 지목이 대지입니다</t>
        </is>
      </c>
      <c r="L2902" s="6">
        <f>HYPERLINK("https://fin.land.naver.com/articles/2655302942", "매물Link")</f>
        <v/>
      </c>
      <c r="M2902" s="6">
        <f>HYPERLINK("https://map.naver.com/p/search/전동면 청람리 248", "지도Link")</f>
        <v/>
      </c>
      <c r="N2902" s="6">
        <f>HYPERLINK("http://www.eum.go.kr/web/ar/lu/luLandDet.jsp?pnu=3611038028102480000&amp;isNoScr=script&amp;mode=search", "토지이음")</f>
        <v/>
      </c>
      <c r="O2902" s="3" t="inlineStr">
        <is>
          <t>스마일세종</t>
        </is>
      </c>
      <c r="P2902" s="4" t="n">
        <v>2</v>
      </c>
      <c r="Q2902" s="4" t="n">
        <v>843</v>
      </c>
      <c r="R2902" s="3" t="inlineStr">
        <is>
          <t>지정되지않음</t>
        </is>
      </c>
      <c r="S2902" s="3" t="inlineStr">
        <is>
          <t>단독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전동면 청람리 427</t>
        </is>
      </c>
      <c r="B2903" s="3" t="inlineStr">
        <is>
          <t>생산관리지역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69000</v>
      </c>
      <c r="G2903" s="4" t="n">
        <v>4155</v>
      </c>
      <c r="H2903" s="4" t="n">
        <v>1257</v>
      </c>
      <c r="I2903" s="5" t="n">
        <v>54.9</v>
      </c>
      <c r="J2903" s="5" t="n">
        <v>15</v>
      </c>
      <c r="K2903" s="3" t="inlineStr">
        <is>
          <t>도로 상태 좋고 전원주택지로 딱 좋아요. 주변에 전원주택들이 있어요</t>
        </is>
      </c>
      <c r="L2903" s="6">
        <f>HYPERLINK("https://fin.land.naver.com/articles/2653296170", "매물Link")</f>
        <v/>
      </c>
      <c r="M2903" s="6">
        <f>HYPERLINK("https://map.naver.com/p/search/전동면 청람리 427", "지도Link")</f>
        <v/>
      </c>
      <c r="N2903" s="6">
        <f>HYPERLINK("http://www.eum.go.kr/web/ar/lu/luLandDet.jsp?pnu=3611038028104270000&amp;isNoScr=script&amp;mode=search", "토지이음")</f>
        <v/>
      </c>
      <c r="O2903" s="3" t="inlineStr">
        <is>
          <t>세종공감</t>
        </is>
      </c>
      <c r="P2903" s="4" t="n">
        <v>1</v>
      </c>
      <c r="Q2903" s="4" t="n">
        <v>4155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전동면 청람리 44-3</t>
        </is>
      </c>
      <c r="B2904" s="3" t="inlineStr">
        <is>
          <t>보전관리지역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300000</v>
      </c>
      <c r="G2904" s="4" t="n">
        <v>30860</v>
      </c>
      <c r="H2904" s="4" t="n">
        <v>9335</v>
      </c>
      <c r="I2904" s="5" t="n">
        <v>32.1</v>
      </c>
      <c r="J2904" s="5" t="n">
        <v>4.6</v>
      </c>
      <c r="K2904" s="3" t="inlineStr">
        <is>
          <t>세종에서 천안으로 가는 국도1변선변에 위치한 토지임</t>
        </is>
      </c>
      <c r="L2904" s="6">
        <f>HYPERLINK("https://fin.land.naver.com/articles/2655038698", "매물Link")</f>
        <v/>
      </c>
      <c r="M2904" s="6">
        <f>HYPERLINK("https://map.naver.com/p/search/전동면 청람리 44-3", "지도Link")</f>
        <v/>
      </c>
      <c r="N2904" s="6">
        <f>HYPERLINK("http://www.eum.go.kr/web/ar/lu/luLandDet.jsp?pnu=3611038028100440003&amp;isNoScr=script&amp;mode=search", "토지이음")</f>
        <v/>
      </c>
      <c r="O2904" s="3" t="inlineStr">
        <is>
          <t>교차로</t>
        </is>
      </c>
      <c r="P2904" s="4" t="n">
        <v>1</v>
      </c>
      <c r="Q2904" s="4" t="n">
        <v>21096</v>
      </c>
      <c r="R2904" s="3" t="inlineStr">
        <is>
          <t>지정되지않음</t>
        </is>
      </c>
      <c r="S2904" s="3" t="inlineStr">
        <is>
          <t>자연림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전동면 청람리 459</t>
        </is>
      </c>
      <c r="B2905" s="3" t="inlineStr">
        <is>
          <t>생산관리지역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43000</v>
      </c>
      <c r="G2905" s="4" t="n">
        <v>2582</v>
      </c>
      <c r="H2905" s="4" t="n">
        <v>781</v>
      </c>
      <c r="I2905" s="5" t="n">
        <v>55.1</v>
      </c>
      <c r="J2905" s="5" t="n">
        <v>17.1</v>
      </c>
      <c r="K2905" s="3" t="inlineStr">
        <is>
          <t>농지 매수를 검토하는 실수요자 세종 인근 토지 보유를 원하는 장기 보유형</t>
        </is>
      </c>
      <c r="L2905" s="6">
        <f>HYPERLINK("https://fin.land.naver.com/articles/2651605340", "매물Link")</f>
        <v/>
      </c>
      <c r="M2905" s="6">
        <f>HYPERLINK("https://map.naver.com/p/search/전동면 청람리 459", "지도Link")</f>
        <v/>
      </c>
      <c r="N2905" s="6">
        <f>HYPERLINK("http://www.eum.go.kr/web/ar/lu/luLandDet.jsp?pnu=3611038028104590000&amp;isNoScr=script&amp;mode=search", "토지이음")</f>
        <v/>
      </c>
      <c r="O2905" s="3" t="inlineStr">
        <is>
          <t>세종몽땅</t>
        </is>
      </c>
      <c r="P2905" s="4" t="n">
        <v>1</v>
      </c>
      <c r="Q2905" s="4" t="n">
        <v>2582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세로한면(불)</t>
        </is>
      </c>
    </row>
    <row r="2906">
      <c r="A2906" s="3" t="inlineStr">
        <is>
          <t>전동면 청람리 459</t>
        </is>
      </c>
      <c r="B2906" s="3" t="inlineStr">
        <is>
          <t>생산관리지역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43000</v>
      </c>
      <c r="G2906" s="4" t="n">
        <v>2582</v>
      </c>
      <c r="H2906" s="4" t="n">
        <v>781</v>
      </c>
      <c r="I2906" s="5" t="n">
        <v>55.1</v>
      </c>
      <c r="J2906" s="5" t="n">
        <v>17.1</v>
      </c>
      <c r="K2906" s="3" t="inlineStr">
        <is>
          <t>생산관리지역성장관리계획구역</t>
        </is>
      </c>
      <c r="L2906" s="6">
        <f>HYPERLINK("https://fin.land.naver.com/articles/2655617228", "매물Link")</f>
        <v/>
      </c>
      <c r="M2906" s="6">
        <f>HYPERLINK("https://map.naver.com/p/search/전동면 청람리 459", "지도Link")</f>
        <v/>
      </c>
      <c r="N2906" s="6">
        <f>HYPERLINK("http://www.eum.go.kr/web/ar/lu/luLandDet.jsp?pnu=3611038028104590000&amp;isNoScr=script&amp;mode=search", "토지이음")</f>
        <v/>
      </c>
      <c r="O2906" s="3" t="inlineStr">
        <is>
          <t>세종몽땅</t>
        </is>
      </c>
      <c r="P2906" s="4" t="n">
        <v>1</v>
      </c>
      <c r="Q2906" s="4" t="n">
        <v>2582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세로한면(불)</t>
        </is>
      </c>
    </row>
    <row r="2907">
      <c r="A2907" s="3" t="inlineStr">
        <is>
          <t>전동면 청람리 459</t>
        </is>
      </c>
      <c r="B2907" s="3" t="inlineStr">
        <is>
          <t>생산관리지역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28000</v>
      </c>
      <c r="G2907" s="4" t="n">
        <v>2582</v>
      </c>
      <c r="H2907" s="4" t="n">
        <v>781</v>
      </c>
      <c r="I2907" s="5" t="n">
        <v>35.9</v>
      </c>
      <c r="J2907" s="5" t="n">
        <v>17.1</v>
      </c>
      <c r="K2907" s="3" t="inlineStr">
        <is>
          <t>넓은 면적, 한적한 시골 주말농장, 귀촌, 대토 추천</t>
        </is>
      </c>
      <c r="L2907" s="6">
        <f>HYPERLINK("https://fin.land.naver.com/articles/2654788851", "매물Link")</f>
        <v/>
      </c>
      <c r="M2907" s="6">
        <f>HYPERLINK("https://map.naver.com/p/search/전동면 청람리 459", "지도Link")</f>
        <v/>
      </c>
      <c r="N2907" s="6">
        <f>HYPERLINK("http://www.eum.go.kr/web/ar/lu/luLandDet.jsp?pnu=3611038028104590000&amp;isNoScr=script&amp;mode=search", "토지이음")</f>
        <v/>
      </c>
      <c r="O2907" s="3" t="inlineStr">
        <is>
          <t>세종소담114</t>
        </is>
      </c>
      <c r="P2907" s="4" t="n">
        <v>2</v>
      </c>
      <c r="Q2907" s="4" t="n">
        <v>2582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세로한면(불)</t>
        </is>
      </c>
    </row>
    <row r="2908">
      <c r="A2908" s="3" t="inlineStr">
        <is>
          <t>전동면 청람리 465</t>
        </is>
      </c>
      <c r="B2908" s="3" t="inlineStr">
        <is>
          <t>생산관리지역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17000</v>
      </c>
      <c r="G2908" s="4" t="n">
        <v>1177</v>
      </c>
      <c r="H2908" s="4" t="n">
        <v>356</v>
      </c>
      <c r="I2908" s="5" t="n">
        <v>47.8</v>
      </c>
      <c r="J2908" s="5" t="n">
        <v>15.2</v>
      </c>
      <c r="K2908" s="3" t="inlineStr">
        <is>
          <t>이웃토지와 함께 매매원함,복숭아밭 농사중.</t>
        </is>
      </c>
      <c r="L2908" s="6">
        <f>HYPERLINK("https://fin.land.naver.com/articles/2653234776", "매물Link")</f>
        <v/>
      </c>
      <c r="M2908" s="6">
        <f>HYPERLINK("https://map.naver.com/p/search/전동면 청람리 465", "지도Link")</f>
        <v/>
      </c>
      <c r="N2908" s="6">
        <f>HYPERLINK("http://www.eum.go.kr/web/ar/lu/luLandDet.jsp?pnu=3611038028104650000&amp;isNoScr=script&amp;mode=search", "토지이음")</f>
        <v/>
      </c>
      <c r="O2908" s="3" t="inlineStr">
        <is>
          <t>주공그린빌</t>
        </is>
      </c>
      <c r="P2908" s="4" t="n">
        <v>1</v>
      </c>
      <c r="Q2908" s="4" t="n">
        <v>1177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세로한면(불)</t>
        </is>
      </c>
    </row>
    <row r="2909">
      <c r="A2909" s="3" t="inlineStr">
        <is>
          <t>전동면 청람리 467</t>
        </is>
      </c>
      <c r="B2909" s="3" t="inlineStr">
        <is>
          <t>생산관리지역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16000</v>
      </c>
      <c r="G2909" s="4" t="n">
        <v>866</v>
      </c>
      <c r="H2909" s="4" t="n">
        <v>262</v>
      </c>
      <c r="I2909" s="5" t="n">
        <v>61.1</v>
      </c>
      <c r="J2909" s="5" t="n">
        <v>15.2</v>
      </c>
      <c r="K2909" s="3" t="inlineStr">
        <is>
          <t>주말농장으로 추천</t>
        </is>
      </c>
      <c r="L2909" s="6">
        <f>HYPERLINK("https://fin.land.naver.com/articles/2655705874", "매물Link")</f>
        <v/>
      </c>
      <c r="M2909" s="6">
        <f>HYPERLINK("https://map.naver.com/p/search/전동면 청람리 467", "지도Link")</f>
        <v/>
      </c>
      <c r="N2909" s="6">
        <f>HYPERLINK("http://www.eum.go.kr/web/ar/lu/luLandDet.jsp?pnu=3611038028104670000&amp;isNoScr=script&amp;mode=search", "토지이음")</f>
        <v/>
      </c>
      <c r="O2909" s="3" t="inlineStr">
        <is>
          <t>세종베스트</t>
        </is>
      </c>
      <c r="P2909" s="4" t="n">
        <v>1</v>
      </c>
      <c r="Q2909" s="4" t="n">
        <v>866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전동면 청람리 470-2</t>
        </is>
      </c>
      <c r="B2910" s="3" t="inlineStr">
        <is>
          <t>생산관리지역</t>
        </is>
      </c>
      <c r="C2910" s="3" t="inlineStr">
        <is>
          <t>과수원</t>
        </is>
      </c>
      <c r="D2910" s="3" t="inlineStr">
        <is>
          <t>과수원</t>
        </is>
      </c>
      <c r="E2910" s="3" t="inlineStr">
        <is>
          <t>매매</t>
        </is>
      </c>
      <c r="F2910" s="4" t="n">
        <v>50000</v>
      </c>
      <c r="G2910" s="4" t="n">
        <v>2440</v>
      </c>
      <c r="H2910" s="4" t="n">
        <v>738</v>
      </c>
      <c r="I2910" s="5" t="n">
        <v>67.8</v>
      </c>
      <c r="J2910" s="5" t="n">
        <v>15.2</v>
      </c>
      <c r="K2910" s="3" t="inlineStr">
        <is>
          <t>도로에 접한 평평한, 놀기 좋은 토지</t>
        </is>
      </c>
      <c r="L2910" s="6">
        <f>HYPERLINK("https://fin.land.naver.com/articles/2654367512", "매물Link")</f>
        <v/>
      </c>
      <c r="M2910" s="6">
        <f>HYPERLINK("https://map.naver.com/p/search/전동면 청람리 470-2", "지도Link")</f>
        <v/>
      </c>
      <c r="N2910" s="6">
        <f>HYPERLINK("http://www.eum.go.kr/web/ar/lu/luLandDet.jsp?pnu=3611038028104700002&amp;isNoScr=script&amp;mode=search", "토지이음")</f>
        <v/>
      </c>
      <c r="O2910" s="3" t="inlineStr">
        <is>
          <t>OK파라곤</t>
        </is>
      </c>
      <c r="P2910" s="4" t="n">
        <v>1</v>
      </c>
      <c r="Q2910" s="4" t="n">
        <v>625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세로한면(불)</t>
        </is>
      </c>
    </row>
    <row r="2911">
      <c r="A2911" s="3" t="inlineStr">
        <is>
          <t>전동면 청람리 492-1</t>
        </is>
      </c>
      <c r="B2911" s="3" t="inlineStr">
        <is>
          <t>생산관리지역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13000</v>
      </c>
      <c r="G2911" s="4" t="n">
        <v>436</v>
      </c>
      <c r="H2911" s="4" t="n">
        <v>132</v>
      </c>
      <c r="I2911" s="5" t="n">
        <v>98.5</v>
      </c>
      <c r="J2911" s="5" t="n">
        <v>11.2</v>
      </c>
      <c r="K2911" s="3" t="inlineStr">
        <is>
          <t>세종 전동면 청람리 답 매매  석남소류지 인접 전원부지</t>
        </is>
      </c>
      <c r="L2911" s="6">
        <f>HYPERLINK("https://fin.land.naver.com/articles/2656483175", "매물Link")</f>
        <v/>
      </c>
      <c r="M2911" s="6">
        <f>HYPERLINK("https://map.naver.com/p/search/전동면 청람리 492-1", "지도Link")</f>
        <v/>
      </c>
      <c r="N2911" s="6">
        <f>HYPERLINK("http://www.eum.go.kr/web/ar/lu/luLandDet.jsp?pnu=3611038028104920001&amp;isNoScr=script&amp;mode=search", "토지이음")</f>
        <v/>
      </c>
      <c r="O2911" s="3" t="inlineStr">
        <is>
          <t>일등</t>
        </is>
      </c>
      <c r="P2911" s="4" t="n">
        <v>1</v>
      </c>
      <c r="Q2911" s="4" t="n">
        <v>436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세로한면(가)</t>
        </is>
      </c>
    </row>
    <row r="2912">
      <c r="A2912" s="3" t="inlineStr">
        <is>
          <t>전동면 청람리 68-2</t>
        </is>
      </c>
      <c r="B2912" s="3" t="inlineStr">
        <is>
          <t>농림지역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60000</v>
      </c>
      <c r="G2912" s="4" t="n">
        <v>3677</v>
      </c>
      <c r="H2912" s="4" t="n">
        <v>1112</v>
      </c>
      <c r="I2912" s="5" t="n">
        <v>54</v>
      </c>
      <c r="J2912" s="5" t="n">
        <v>14.4</v>
      </c>
      <c r="K2912" s="3" t="inlineStr">
        <is>
          <t>2차선도로에 접한 토지</t>
        </is>
      </c>
      <c r="L2912" s="6">
        <f>HYPERLINK("https://fin.land.naver.com/articles/2650856634", "매물Link")</f>
        <v/>
      </c>
      <c r="M2912" s="6">
        <f>HYPERLINK("https://map.naver.com/p/search/전동면 청람리 68-2", "지도Link")</f>
        <v/>
      </c>
      <c r="N2912" s="6">
        <f>HYPERLINK("http://www.eum.go.kr/web/ar/lu/luLandDet.jsp?pnu=3611038028100680002&amp;isNoScr=script&amp;mode=search", "토지이음")</f>
        <v/>
      </c>
      <c r="O2912" s="3" t="inlineStr">
        <is>
          <t>세종대박</t>
        </is>
      </c>
      <c r="P2912" s="4" t="n">
        <v>1</v>
      </c>
      <c r="Q2912" s="4" t="n">
        <v>3677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소로한면</t>
        </is>
      </c>
    </row>
    <row r="2913">
      <c r="A2913" s="3" t="inlineStr">
        <is>
          <t>전동면 청람리 68-2</t>
        </is>
      </c>
      <c r="B2913" s="3" t="inlineStr">
        <is>
          <t>농림지역</t>
        </is>
      </c>
      <c r="C2913" s="3" t="inlineStr">
        <is>
          <t>답</t>
        </is>
      </c>
      <c r="D2913" s="3" t="inlineStr">
        <is>
          <t>답</t>
        </is>
      </c>
      <c r="E2913" s="3" t="inlineStr">
        <is>
          <t>매매</t>
        </is>
      </c>
      <c r="F2913" s="4" t="n">
        <v>45000</v>
      </c>
      <c r="G2913" s="4" t="n">
        <v>3677</v>
      </c>
      <c r="H2913" s="4" t="n">
        <v>1112</v>
      </c>
      <c r="I2913" s="5" t="n">
        <v>40.5</v>
      </c>
      <c r="J2913" s="5" t="n">
        <v>14.4</v>
      </c>
      <c r="K2913" s="3" t="inlineStr">
        <is>
          <t>답</t>
        </is>
      </c>
      <c r="L2913" s="6">
        <f>HYPERLINK("https://fin.land.naver.com/articles/2652770012", "매물Link")</f>
        <v/>
      </c>
      <c r="M2913" s="6">
        <f>HYPERLINK("https://map.naver.com/p/search/전동면 청람리 68-2", "지도Link")</f>
        <v/>
      </c>
      <c r="N2913" s="6">
        <f>HYPERLINK("http://www.eum.go.kr/web/ar/lu/luLandDet.jsp?pnu=3611038028100680002&amp;isNoScr=script&amp;mode=search", "토지이음")</f>
        <v/>
      </c>
      <c r="O2913" s="3" t="inlineStr">
        <is>
          <t>원진</t>
        </is>
      </c>
      <c r="P2913" s="4" t="n">
        <v>1</v>
      </c>
      <c r="Q2913" s="4" t="n">
        <v>3677</v>
      </c>
      <c r="R2913" s="3" t="inlineStr">
        <is>
          <t>지정되지않음</t>
        </is>
      </c>
      <c r="S2913" s="3" t="inlineStr">
        <is>
          <t>답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소로한면</t>
        </is>
      </c>
    </row>
    <row r="2914">
      <c r="A2914" s="3" t="inlineStr">
        <is>
          <t>전동면 청람리 산44-1</t>
        </is>
      </c>
      <c r="B2914" s="3" t="inlineStr">
        <is>
          <t>농림지역</t>
        </is>
      </c>
      <c r="C2914" s="3" t="inlineStr">
        <is>
          <t>임야</t>
        </is>
      </c>
      <c r="D2914" s="3" t="inlineStr">
        <is>
          <t>임야</t>
        </is>
      </c>
      <c r="E2914" s="3" t="inlineStr">
        <is>
          <t>매매</t>
        </is>
      </c>
      <c r="F2914" s="4" t="n">
        <v>28000</v>
      </c>
      <c r="G2914" s="4" t="n">
        <v>11549</v>
      </c>
      <c r="H2914" s="4" t="n">
        <v>3494</v>
      </c>
      <c r="I2914" s="5" t="n">
        <v>8</v>
      </c>
      <c r="J2914" s="5" t="n">
        <v>2.3</v>
      </c>
      <c r="K2914" s="3" t="inlineStr">
        <is>
          <t>서울세종고속도로및세종벤처벨리인근 개발가능성 많은 임야</t>
        </is>
      </c>
      <c r="L2914" s="6">
        <f>HYPERLINK("https://fin.land.naver.com/articles/2652292664", "매물Link")</f>
        <v/>
      </c>
      <c r="M2914" s="6">
        <f>HYPERLINK("https://map.naver.com/p/search/전동면 청람리 산44-1", "지도Link")</f>
        <v/>
      </c>
      <c r="N2914" s="6">
        <f>HYPERLINK("http://www.eum.go.kr/web/ar/lu/luLandDet.jsp?pnu=3611038028200440001&amp;isNoScr=script&amp;mode=search", "토지이음")</f>
        <v/>
      </c>
      <c r="O2914" s="3" t="inlineStr">
        <is>
          <t>세종강남</t>
        </is>
      </c>
      <c r="P2914" s="4" t="n">
        <v>1</v>
      </c>
      <c r="Q2914" s="4" t="n">
        <v>11549</v>
      </c>
      <c r="R2914" s="3" t="inlineStr">
        <is>
          <t>보전관리지역</t>
        </is>
      </c>
      <c r="S2914" s="3" t="inlineStr">
        <is>
          <t>자연림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맹지</t>
        </is>
      </c>
    </row>
    <row r="2915">
      <c r="A2915" s="3" t="inlineStr">
        <is>
          <t>전동면 청람리 산44-7</t>
        </is>
      </c>
      <c r="B2915" s="3" t="inlineStr">
        <is>
          <t>보전관리지역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100000</v>
      </c>
      <c r="G2915" s="4" t="n">
        <v>20826</v>
      </c>
      <c r="H2915" s="4" t="n">
        <v>6300</v>
      </c>
      <c r="I2915" s="5" t="n">
        <v>15.9</v>
      </c>
      <c r="J2915" s="5" t="n">
        <v>4</v>
      </c>
      <c r="K2915" s="3" t="inlineStr">
        <is>
          <t>도로접,임야,조율가능,향후 투자가지있음,주변산단</t>
        </is>
      </c>
      <c r="L2915" s="6">
        <f>HYPERLINK("https://fin.land.naver.com/articles/2653535180", "매물Link")</f>
        <v/>
      </c>
      <c r="M2915" s="6">
        <f>HYPERLINK("https://map.naver.com/p/search/전동면 청람리 산44-7", "지도Link")</f>
        <v/>
      </c>
      <c r="N2915" s="6">
        <f>HYPERLINK("http://www.eum.go.kr/web/ar/lu/luLandDet.jsp?pnu=3611038028200440007&amp;isNoScr=script&amp;mode=search", "토지이음")</f>
        <v/>
      </c>
      <c r="O2915" s="3" t="inlineStr">
        <is>
          <t>세종산울랜드마크</t>
        </is>
      </c>
      <c r="P2915" s="4" t="n">
        <v>1</v>
      </c>
      <c r="Q2915" s="4" t="n">
        <v>20687</v>
      </c>
      <c r="R2915" s="3" t="inlineStr">
        <is>
          <t>농림지역</t>
        </is>
      </c>
      <c r="S2915" s="3" t="inlineStr">
        <is>
          <t>자연림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전동면 청람리 산80-5</t>
        </is>
      </c>
      <c r="B2916" s="3" t="inlineStr">
        <is>
          <t>농림지역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71500</v>
      </c>
      <c r="G2916" s="4" t="n">
        <v>9465</v>
      </c>
      <c r="H2916" s="4" t="n">
        <v>2863</v>
      </c>
      <c r="I2916" s="5" t="n">
        <v>25</v>
      </c>
      <c r="J2916" s="5" t="n">
        <v>1.6</v>
      </c>
      <c r="K2916" s="3" t="inlineStr">
        <is>
          <t>경사도 완만하고 마을 안길 포장도로에 접한 농림지역 임야입니다</t>
        </is>
      </c>
      <c r="L2916" s="6">
        <f>HYPERLINK("https://fin.land.naver.com/articles/2651942036", "매물Link")</f>
        <v/>
      </c>
      <c r="M2916" s="6">
        <f>HYPERLINK("https://map.naver.com/p/search/전동면 청람리 산80-5", "지도Link")</f>
        <v/>
      </c>
      <c r="N2916" s="6">
        <f>HYPERLINK("http://www.eum.go.kr/web/ar/lu/luLandDet.jsp?pnu=3611038028200800005&amp;isNoScr=script&amp;mode=search", "토지이음")</f>
        <v/>
      </c>
      <c r="O2916" s="3" t="inlineStr">
        <is>
          <t>스마일세종</t>
        </is>
      </c>
      <c r="P2916" s="4" t="n">
        <v>1</v>
      </c>
      <c r="Q2916" s="4" t="n">
        <v>9465</v>
      </c>
      <c r="R2916" s="3" t="inlineStr">
        <is>
          <t>생산관리지역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전동면 청송리 118-2</t>
        </is>
      </c>
      <c r="B2917" s="3" t="inlineStr">
        <is>
          <t>보전관리지역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68000</v>
      </c>
      <c r="G2917" s="4" t="n">
        <v>2105</v>
      </c>
      <c r="H2917" s="4" t="n">
        <v>637</v>
      </c>
      <c r="I2917" s="5" t="n">
        <v>106.8</v>
      </c>
      <c r="J2917" s="5" t="n">
        <v>25.5</v>
      </c>
      <c r="K2917" s="3" t="inlineStr">
        <is>
          <t>보전관리 전, 노장농공단지, 청송농공단지,세종벤처벨리산업단지 접근성 최상</t>
        </is>
      </c>
      <c r="L2917" s="6">
        <f>HYPERLINK("https://fin.land.naver.com/articles/2656434138", "매물Link")</f>
        <v/>
      </c>
      <c r="M2917" s="6">
        <f>HYPERLINK("https://map.naver.com/p/search/전동면 청송리 118-2", "지도Link")</f>
        <v/>
      </c>
      <c r="N2917" s="6">
        <f>HYPERLINK("http://www.eum.go.kr/web/ar/lu/luLandDet.jsp?pnu=3611038023101180002&amp;isNoScr=script&amp;mode=search", "토지이음")</f>
        <v/>
      </c>
      <c r="O2917" s="3" t="inlineStr">
        <is>
          <t>세종일조</t>
        </is>
      </c>
      <c r="P2917" s="4" t="n">
        <v>1</v>
      </c>
      <c r="Q2917" s="4" t="n">
        <v>1361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전동면 청송리 191-3</t>
        </is>
      </c>
      <c r="B2918" s="3" t="inlineStr">
        <is>
          <t>농림지역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3500</v>
      </c>
      <c r="G2918" s="4" t="n">
        <v>294</v>
      </c>
      <c r="H2918" s="4" t="n">
        <v>89</v>
      </c>
      <c r="I2918" s="5" t="n">
        <v>39.3</v>
      </c>
      <c r="J2918" s="5" t="n">
        <v>18</v>
      </c>
      <c r="K2918" s="3" t="inlineStr">
        <is>
          <t>nan</t>
        </is>
      </c>
      <c r="L2918" s="6">
        <f>HYPERLINK("https://fin.land.naver.com/articles/2651051508", "매물Link")</f>
        <v/>
      </c>
      <c r="M2918" s="6">
        <f>HYPERLINK("https://map.naver.com/p/search/전동면 청송리 191-3", "지도Link")</f>
        <v/>
      </c>
      <c r="N2918" s="6">
        <f>HYPERLINK("http://www.eum.go.kr/web/ar/lu/luLandDet.jsp?pnu=3611038023101910003&amp;isNoScr=script&amp;mode=search", "토지이음")</f>
        <v/>
      </c>
      <c r="O2918" s="3" t="inlineStr">
        <is>
          <t>동원탑</t>
        </is>
      </c>
      <c r="P2918" s="4" t="n">
        <v>1</v>
      </c>
      <c r="Q2918" s="4" t="n">
        <v>294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전동면 청송리 253</t>
        </is>
      </c>
      <c r="B2919" s="3" t="inlineStr">
        <is>
          <t>농림지역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25000</v>
      </c>
      <c r="G2919" s="4" t="n">
        <v>2117</v>
      </c>
      <c r="H2919" s="4" t="n">
        <v>640</v>
      </c>
      <c r="I2919" s="5" t="n">
        <v>39.1</v>
      </c>
      <c r="J2919" s="5" t="n">
        <v>16.3</v>
      </c>
      <c r="K2919" s="3" t="inlineStr">
        <is>
          <t>nan</t>
        </is>
      </c>
      <c r="L2919" s="6">
        <f>HYPERLINK("https://fin.land.naver.com/articles/2656459665", "매물Link")</f>
        <v/>
      </c>
      <c r="M2919" s="6">
        <f>HYPERLINK("https://map.naver.com/p/search/전동면 청송리 253", "지도Link")</f>
        <v/>
      </c>
      <c r="N2919" s="6">
        <f>HYPERLINK("http://www.eum.go.kr/web/ar/lu/luLandDet.jsp?pnu=3611038023102530000&amp;isNoScr=script&amp;mode=search", "토지이음")</f>
        <v/>
      </c>
      <c r="O2919" s="3" t="inlineStr">
        <is>
          <t>동원탑</t>
        </is>
      </c>
      <c r="P2919" s="4" t="n">
        <v>1</v>
      </c>
      <c r="Q2919" s="4" t="n">
        <v>2117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전동면 청송리 286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75400</v>
      </c>
      <c r="G2920" s="4" t="n">
        <v>3835</v>
      </c>
      <c r="H2920" s="4" t="n">
        <v>1160</v>
      </c>
      <c r="I2920" s="5" t="n">
        <v>65</v>
      </c>
      <c r="J2920" s="5" t="n">
        <v>20.4</v>
      </c>
      <c r="K2920" s="3" t="inlineStr">
        <is>
          <t>계획관리 전입니다.전망트여 전원주택지로도 추천합니다.</t>
        </is>
      </c>
      <c r="L2920" s="6">
        <f>HYPERLINK("https://fin.land.naver.com/articles/2656679059", "매물Link")</f>
        <v/>
      </c>
      <c r="M2920" s="6">
        <f>HYPERLINK("https://map.naver.com/p/search/전동면 청송리 286", "지도Link")</f>
        <v/>
      </c>
      <c r="N2920" s="6">
        <f>HYPERLINK("http://www.eum.go.kr/web/ar/lu/luLandDet.jsp?pnu=3611038023102860000&amp;isNoScr=script&amp;mode=search", "토지이음")</f>
        <v/>
      </c>
      <c r="O2920" s="3" t="inlineStr">
        <is>
          <t>신안무소</t>
        </is>
      </c>
      <c r="P2920" s="4" t="n">
        <v>2</v>
      </c>
      <c r="Q2920" s="4" t="n">
        <v>3835</v>
      </c>
      <c r="R2920" s="3" t="inlineStr">
        <is>
          <t>지정되지않음</t>
        </is>
      </c>
      <c r="S2920" s="3" t="inlineStr">
        <is>
          <t>과수원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전동면 청송리 407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40500</v>
      </c>
      <c r="G2921" s="4" t="n">
        <v>3818</v>
      </c>
      <c r="H2921" s="4" t="n">
        <v>1155</v>
      </c>
      <c r="I2921" s="5" t="n">
        <v>35.1</v>
      </c>
      <c r="J2921" s="5" t="n">
        <v>16.9</v>
      </c>
      <c r="K2921" s="3" t="inlineStr">
        <is>
          <t>청송리 귀농인 주택 및 농장지로 추천 관리지역토지</t>
        </is>
      </c>
      <c r="L2921" s="6">
        <f>HYPERLINK("https://fin.land.naver.com/articles/2655566958", "매물Link")</f>
        <v/>
      </c>
      <c r="M2921" s="6">
        <f>HYPERLINK("https://map.naver.com/p/search/전동면 청송리 407", "지도Link")</f>
        <v/>
      </c>
      <c r="N2921" s="6">
        <f>HYPERLINK("http://www.eum.go.kr/web/ar/lu/luLandDet.jsp?pnu=3611038023104070000&amp;isNoScr=script&amp;mode=search", "토지이음")</f>
        <v/>
      </c>
      <c r="O2921" s="3" t="inlineStr">
        <is>
          <t>오송k랜드</t>
        </is>
      </c>
      <c r="P2921" s="4" t="n">
        <v>1</v>
      </c>
      <c r="Q2921" s="4" t="n">
        <v>3818</v>
      </c>
      <c r="R2921" s="3" t="inlineStr">
        <is>
          <t>지정되지않음</t>
        </is>
      </c>
      <c r="S2921" s="3" t="inlineStr">
        <is>
          <t>과수원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전동면 청송리 475-2</t>
        </is>
      </c>
      <c r="B2922" s="3" t="inlineStr">
        <is>
          <t>보전관리지역</t>
        </is>
      </c>
      <c r="C2922" s="3" t="inlineStr">
        <is>
          <t>도로</t>
        </is>
      </c>
      <c r="D2922" s="3" t="inlineStr">
        <is>
          <t>전</t>
        </is>
      </c>
      <c r="E2922" s="3" t="inlineStr">
        <is>
          <t>매매</t>
        </is>
      </c>
      <c r="F2922" s="4" t="n">
        <v>7800</v>
      </c>
      <c r="G2922" s="4" t="n">
        <v>198</v>
      </c>
      <c r="H2922" s="4" t="n">
        <v>60</v>
      </c>
      <c r="I2922" s="5" t="n">
        <v>130</v>
      </c>
      <c r="J2922" s="5" t="n">
        <v>10.9</v>
      </c>
      <c r="K2922" s="3" t="inlineStr">
        <is>
          <t>계획관리 도로접 소형토지, 쉼터텃밭장기보유 검토지</t>
        </is>
      </c>
      <c r="L2922" s="6">
        <f>HYPERLINK("https://fin.land.naver.com/articles/2651253476", "매물Link")</f>
        <v/>
      </c>
      <c r="M2922" s="6">
        <f>HYPERLINK("https://map.naver.com/p/search/전동면 청송리 475-2", "지도Link")</f>
        <v/>
      </c>
      <c r="N2922" s="6">
        <f>HYPERLINK("http://www.eum.go.kr/web/ar/lu/luLandDet.jsp?pnu=3611038023104750002&amp;isNoScr=script&amp;mode=search", "토지이음")</f>
        <v/>
      </c>
      <c r="O2922" s="3" t="inlineStr">
        <is>
          <t>세종소담황금</t>
        </is>
      </c>
      <c r="P2922" s="4" t="n">
        <v>1</v>
      </c>
      <c r="Q2922" s="4" t="n">
        <v>109</v>
      </c>
      <c r="R2922" s="3" t="inlineStr">
        <is>
          <t>지정되지않음</t>
        </is>
      </c>
      <c r="S2922" s="3" t="inlineStr">
        <is>
          <t>도로등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지정되지않음</t>
        </is>
      </c>
    </row>
    <row r="2923">
      <c r="A2923" s="3" t="inlineStr">
        <is>
          <t>전동면 청송리 69-1</t>
        </is>
      </c>
      <c r="B2923" s="3" t="inlineStr">
        <is>
          <t>농림지역</t>
        </is>
      </c>
      <c r="C2923" s="3" t="inlineStr">
        <is>
          <t>과수원</t>
        </is>
      </c>
      <c r="D2923" s="3" t="inlineStr">
        <is>
          <t>과수원</t>
        </is>
      </c>
      <c r="E2923" s="3" t="inlineStr">
        <is>
          <t>매매</t>
        </is>
      </c>
      <c r="F2923" s="4" t="n">
        <v>35000</v>
      </c>
      <c r="G2923" s="4" t="n">
        <v>6249</v>
      </c>
      <c r="H2923" s="4" t="n">
        <v>1890</v>
      </c>
      <c r="I2923" s="5" t="n">
        <v>18.5</v>
      </c>
      <c r="J2923" s="5" t="n">
        <v>15.6</v>
      </c>
      <c r="K2923" s="3" t="inlineStr">
        <is>
          <t>노장농공단지 전동산업단지 인근 두필지 토지 매매, 가격 협의 가능</t>
        </is>
      </c>
      <c r="L2923" s="6">
        <f>HYPERLINK("https://fin.land.naver.com/articles/2652201758", "매물Link")</f>
        <v/>
      </c>
      <c r="M2923" s="6">
        <f>HYPERLINK("https://map.naver.com/p/search/전동면 청송리 69-1", "지도Link")</f>
        <v/>
      </c>
      <c r="N2923" s="6">
        <f>HYPERLINK("http://www.eum.go.kr/web/ar/lu/luLandDet.jsp?pnu=3611038023100690001&amp;isNoScr=script&amp;mode=search", "토지이음")</f>
        <v/>
      </c>
      <c r="O2923" s="3" t="inlineStr">
        <is>
          <t>봉담내리지구찐</t>
        </is>
      </c>
      <c r="P2923" s="4" t="n">
        <v>1</v>
      </c>
      <c r="Q2923" s="4" t="n">
        <v>4800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세로한면(불)</t>
        </is>
      </c>
    </row>
    <row r="2924">
      <c r="A2924" s="3" t="inlineStr">
        <is>
          <t>전동면 청송리 69-5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26000</v>
      </c>
      <c r="G2924" s="4" t="n">
        <v>876</v>
      </c>
      <c r="H2924" s="4" t="n">
        <v>265</v>
      </c>
      <c r="I2924" s="5" t="n">
        <v>98.09999999999999</v>
      </c>
      <c r="J2924" s="5" t="n">
        <v>23</v>
      </c>
      <c r="K2924" s="3" t="inlineStr">
        <is>
          <t>세종시 계획관리에 성장관리지역 토지 매매.조절가능</t>
        </is>
      </c>
      <c r="L2924" s="6">
        <f>HYPERLINK("https://fin.land.naver.com/articles/2652365867", "매물Link")</f>
        <v/>
      </c>
      <c r="M2924" s="6">
        <f>HYPERLINK("https://map.naver.com/p/search/전동면 청송리 69-5", "지도Link")</f>
        <v/>
      </c>
      <c r="N2924" s="6">
        <f>HYPERLINK("http://www.eum.go.kr/web/ar/lu/luLandDet.jsp?pnu=3611038023100690005&amp;isNoScr=script&amp;mode=search", "토지이음")</f>
        <v/>
      </c>
      <c r="O2924" s="3" t="inlineStr">
        <is>
          <t>유성대박</t>
        </is>
      </c>
      <c r="P2924" s="4" t="n">
        <v>1</v>
      </c>
      <c r="Q2924" s="4" t="n">
        <v>446</v>
      </c>
      <c r="R2924" s="3" t="inlineStr">
        <is>
          <t>지정되지않음</t>
        </is>
      </c>
      <c r="S2924" s="3" t="inlineStr">
        <is>
          <t>답기타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세로한면(불)</t>
        </is>
      </c>
    </row>
    <row r="2925">
      <c r="A2925" s="3" t="inlineStr">
        <is>
          <t>전동면 청송리 69-6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34500</v>
      </c>
      <c r="G2925" s="4" t="n">
        <v>1106</v>
      </c>
      <c r="H2925" s="4" t="n">
        <v>335</v>
      </c>
      <c r="I2925" s="5" t="n">
        <v>103</v>
      </c>
      <c r="J2925" s="5" t="n">
        <v>24.2</v>
      </c>
      <c r="K2925" s="3" t="inlineStr">
        <is>
          <t>세종시 계획관리에 성장관리지역 토지 매매.조절가능</t>
        </is>
      </c>
      <c r="L2925" s="6">
        <f>HYPERLINK("https://fin.land.naver.com/articles/2652365126", "매물Link")</f>
        <v/>
      </c>
      <c r="M2925" s="6">
        <f>HYPERLINK("https://map.naver.com/p/search/전동면 청송리 69-6", "지도Link")</f>
        <v/>
      </c>
      <c r="N2925" s="6">
        <f>HYPERLINK("http://www.eum.go.kr/web/ar/lu/luLandDet.jsp?pnu=3611038023100690006&amp;isNoScr=script&amp;mode=search", "토지이음")</f>
        <v/>
      </c>
      <c r="O2925" s="3" t="inlineStr">
        <is>
          <t>유성대박</t>
        </is>
      </c>
      <c r="P2925" s="4" t="n">
        <v>1</v>
      </c>
      <c r="Q2925" s="4" t="n">
        <v>364</v>
      </c>
      <c r="R2925" s="3" t="inlineStr">
        <is>
          <t>지정되지않음</t>
        </is>
      </c>
      <c r="S2925" s="3" t="inlineStr">
        <is>
          <t>답기타</t>
        </is>
      </c>
      <c r="T2925" s="3" t="inlineStr">
        <is>
          <t>완경사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전동면 청송리 73-16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4000</v>
      </c>
      <c r="G2926" s="4" t="n">
        <v>110</v>
      </c>
      <c r="H2926" s="4" t="n">
        <v>33</v>
      </c>
      <c r="I2926" s="5" t="n">
        <v>121.2</v>
      </c>
      <c r="J2926" s="5" t="n">
        <v>30.9</v>
      </c>
      <c r="K2926" s="3" t="inlineStr">
        <is>
          <t>소형농지, 현황도로있음</t>
        </is>
      </c>
      <c r="L2926" s="6">
        <f>HYPERLINK("https://fin.land.naver.com/articles/2654273471", "매물Link")</f>
        <v/>
      </c>
      <c r="M2926" s="6">
        <f>HYPERLINK("https://map.naver.com/p/search/전동면 청송리 73-16", "지도Link")</f>
        <v/>
      </c>
      <c r="N2926" s="6">
        <f>HYPERLINK("http://www.eum.go.kr/web/ar/lu/luLandDet.jsp?pnu=3611038023100730016&amp;isNoScr=script&amp;mode=search",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110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완경사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전동면 청송리 산28</t>
        </is>
      </c>
      <c r="B2927" s="3" t="inlineStr">
        <is>
          <t>농림지역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75000</v>
      </c>
      <c r="G2927" s="4" t="n">
        <v>20826</v>
      </c>
      <c r="H2927" s="4" t="n">
        <v>6300</v>
      </c>
      <c r="I2927" s="5" t="n">
        <v>11.9</v>
      </c>
      <c r="J2927" s="5" t="n">
        <v>2.2</v>
      </c>
      <c r="K2927" s="3" t="inlineStr">
        <is>
          <t>보전관리지역</t>
        </is>
      </c>
      <c r="L2927" s="6">
        <f>HYPERLINK("https://fin.land.naver.com/articles/2653767094", "매물Link")</f>
        <v/>
      </c>
      <c r="M2927" s="6">
        <f>HYPERLINK("https://map.naver.com/p/search/전동면 청송리 산28", "지도Link")</f>
        <v/>
      </c>
      <c r="N2927" s="6">
        <f>HYPERLINK("http://www.eum.go.kr/web/ar/lu/luLandDet.jsp?pnu=3611038023200280000&amp;isNoScr=script&amp;mode=search", "토지이음")</f>
        <v/>
      </c>
      <c r="O2927" s="3" t="inlineStr">
        <is>
          <t>대원</t>
        </is>
      </c>
      <c r="P2927" s="4" t="n">
        <v>1</v>
      </c>
      <c r="Q2927" s="4" t="n">
        <v>20826</v>
      </c>
      <c r="R2927" s="3" t="inlineStr">
        <is>
          <t>보전관리지역</t>
        </is>
      </c>
      <c r="S2927" s="3" t="inlineStr">
        <is>
          <t>자연림</t>
        </is>
      </c>
      <c r="T2927" s="3" t="inlineStr">
        <is>
          <t>급경사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전의면 관정리 184-5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전</t>
        </is>
      </c>
      <c r="E2928" s="3" t="inlineStr">
        <is>
          <t>매매</t>
        </is>
      </c>
      <c r="F2928" s="4" t="n">
        <v>36000</v>
      </c>
      <c r="G2928" s="4" t="n">
        <v>1977</v>
      </c>
      <c r="H2928" s="4" t="n">
        <v>598</v>
      </c>
      <c r="I2928" s="5" t="n">
        <v>60.2</v>
      </c>
      <c r="J2928" s="5" t="n">
        <v>41</v>
      </c>
      <c r="K2928" s="3" t="inlineStr">
        <is>
          <t>nan</t>
        </is>
      </c>
      <c r="L2928" s="6">
        <f>HYPERLINK("https://fin.land.naver.com/articles/2653535511", "매물Link")</f>
        <v/>
      </c>
      <c r="M2928" s="6">
        <f>HYPERLINK("https://map.naver.com/p/search/전의면 관정리 184-5", "지도Link")</f>
        <v/>
      </c>
      <c r="N2928" s="6">
        <f>HYPERLINK("http://www.eum.go.kr/web/ar/lu/luLandDet.jsp?pnu=3611037027101840005&amp;isNoScr=script&amp;mode=search", "토지이음")</f>
        <v/>
      </c>
      <c r="O2928" s="3" t="inlineStr">
        <is>
          <t>진선미</t>
        </is>
      </c>
      <c r="P2928" s="4" t="n">
        <v>1</v>
      </c>
      <c r="Q2928" s="4" t="n">
        <v>288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가로장방</t>
        </is>
      </c>
      <c r="V2928" s="3" t="inlineStr">
        <is>
          <t>세로한면(가)</t>
        </is>
      </c>
    </row>
    <row r="2929">
      <c r="A2929" s="3" t="inlineStr">
        <is>
          <t>전의면 관정리 191-14</t>
        </is>
      </c>
      <c r="B2929" s="3" t="inlineStr">
        <is>
          <t>계획관리지역</t>
        </is>
      </c>
      <c r="C2929" s="3" t="inlineStr">
        <is>
          <t>임야</t>
        </is>
      </c>
      <c r="D2929" s="3" t="inlineStr">
        <is>
          <t>임야</t>
        </is>
      </c>
      <c r="E2929" s="3" t="inlineStr">
        <is>
          <t>매매</t>
        </is>
      </c>
      <c r="F2929" s="4" t="n">
        <v>141000</v>
      </c>
      <c r="G2929" s="4" t="n">
        <v>4660</v>
      </c>
      <c r="H2929" s="4" t="n">
        <v>1410</v>
      </c>
      <c r="I2929" s="5" t="n">
        <v>100</v>
      </c>
      <c r="J2929" s="5" t="n">
        <v>3.2</v>
      </c>
      <c r="K2929" s="3" t="inlineStr">
        <is>
          <t>계획관리 지역, 진로하이트 공장 인접, 산업단지 많은곳</t>
        </is>
      </c>
      <c r="L2929" s="6">
        <f>HYPERLINK("https://fin.land.naver.com/articles/2650941899", "매물Link")</f>
        <v/>
      </c>
      <c r="M2929" s="6">
        <f>HYPERLINK("https://map.naver.com/p/search/전의면 관정리 191-14", "지도Link")</f>
        <v/>
      </c>
      <c r="N2929" s="6">
        <f>HYPERLINK("http://www.eum.go.kr/web/ar/lu/luLandDet.jsp?pnu=3611037027101910014&amp;isNoScr=script&amp;mode=search", "토지이음")</f>
        <v/>
      </c>
      <c r="O2929" s="3" t="inlineStr">
        <is>
          <t>OK세종 사무소</t>
        </is>
      </c>
      <c r="P2929" s="4" t="n">
        <v>1</v>
      </c>
      <c r="Q2929" s="4" t="n">
        <v>4660</v>
      </c>
      <c r="R2929" s="3" t="inlineStr">
        <is>
          <t>농림지역</t>
        </is>
      </c>
      <c r="S2929" s="3" t="inlineStr">
        <is>
          <t>조림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관정리 227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전</t>
        </is>
      </c>
      <c r="E2930" s="3" t="inlineStr">
        <is>
          <t>매매</t>
        </is>
      </c>
      <c r="F2930" s="4" t="n">
        <v>25000</v>
      </c>
      <c r="G2930" s="4" t="n">
        <v>2671</v>
      </c>
      <c r="H2930" s="4" t="n">
        <v>808</v>
      </c>
      <c r="I2930" s="5" t="n">
        <v>30.9</v>
      </c>
      <c r="J2930" s="5" t="n">
        <v>16</v>
      </c>
      <c r="K2930" s="3" t="inlineStr">
        <is>
          <t>급매 추천 계획관리 여러용도가능 현재주말농장</t>
        </is>
      </c>
      <c r="L2930" s="6">
        <f>HYPERLINK("https://fin.land.naver.com/articles/2653045203", "매물Link")</f>
        <v/>
      </c>
      <c r="M2930" s="6">
        <f>HYPERLINK("https://map.naver.com/p/search/전의면 관정리 227", "지도Link")</f>
        <v/>
      </c>
      <c r="N2930" s="6">
        <f>HYPERLINK("http://www.eum.go.kr/web/ar/lu/luLandDet.jsp?pnu=3611037027102270000&amp;isNoScr=script&amp;mode=search", "토지이음")</f>
        <v/>
      </c>
      <c r="O2930" s="3" t="inlineStr">
        <is>
          <t>새롬이지</t>
        </is>
      </c>
      <c r="P2930" s="4" t="n">
        <v>3</v>
      </c>
      <c r="Q2930" s="4" t="n">
        <v>2671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맹지</t>
        </is>
      </c>
    </row>
    <row r="2931">
      <c r="A2931" s="3" t="inlineStr">
        <is>
          <t>전의면 관정리 229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42000</v>
      </c>
      <c r="G2931" s="4" t="n">
        <v>2000</v>
      </c>
      <c r="H2931" s="4" t="n">
        <v>605</v>
      </c>
      <c r="I2931" s="5" t="n">
        <v>69.40000000000001</v>
      </c>
      <c r="J2931" s="5" t="n">
        <v>16</v>
      </c>
      <c r="K2931" s="3" t="inlineStr">
        <is>
          <t>nan</t>
        </is>
      </c>
      <c r="L2931" s="6">
        <f>HYPERLINK("https://fin.land.naver.com/articles/2656370571", "매물Link")</f>
        <v/>
      </c>
      <c r="M2931" s="6">
        <f>HYPERLINK("https://map.naver.com/p/search/전의면 관정리 229", "지도Link")</f>
        <v/>
      </c>
      <c r="N2931" s="6">
        <f>HYPERLINK("http://www.eum.go.kr/web/ar/lu/luLandDet.jsp?pnu=3611037027102290000&amp;isNoScr=script&amp;mode=search", "토지이음")</f>
        <v/>
      </c>
      <c r="O2931" s="3" t="inlineStr">
        <is>
          <t>1등사무소</t>
        </is>
      </c>
      <c r="P2931" s="4" t="n">
        <v>1</v>
      </c>
      <c r="Q2931" s="4" t="n">
        <v>2000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관정리 253-6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114000</v>
      </c>
      <c r="G2932" s="4" t="n">
        <v>1002</v>
      </c>
      <c r="H2932" s="4" t="n">
        <v>303</v>
      </c>
      <c r="I2932" s="5" t="n">
        <v>376.2</v>
      </c>
      <c r="J2932" s="5" t="n">
        <v>44.9</v>
      </c>
      <c r="K2932" s="3" t="inlineStr">
        <is>
          <t>nan</t>
        </is>
      </c>
      <c r="L2932" s="6">
        <f>HYPERLINK("https://fin.land.naver.com/articles/2656428322", "매물Link")</f>
        <v/>
      </c>
      <c r="M2932" s="6">
        <f>HYPERLINK("https://map.naver.com/p/search/전의면 관정리 253-6", "지도Link")</f>
        <v/>
      </c>
      <c r="N2932" s="6">
        <f>HYPERLINK("http://www.eum.go.kr/web/ar/lu/luLandDet.jsp?pnu=3611037027102530006&amp;isNoScr=script&amp;mode=search", "토지이음")</f>
        <v/>
      </c>
      <c r="O2932" s="3" t="inlineStr">
        <is>
          <t>날개</t>
        </is>
      </c>
      <c r="P2932" s="4" t="n">
        <v>2</v>
      </c>
      <c r="Q2932" s="4" t="n">
        <v>1002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관정리 260-2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53000</v>
      </c>
      <c r="G2933" s="4" t="n">
        <v>1858</v>
      </c>
      <c r="H2933" s="4" t="n">
        <v>562</v>
      </c>
      <c r="I2933" s="5" t="n">
        <v>94.3</v>
      </c>
      <c r="J2933" s="5" t="n">
        <v>49</v>
      </c>
      <c r="K2933" s="3" t="inlineStr">
        <is>
          <t>전의산업단지 인근 토지, 한국콜마공장옆, 투자용 강추, 아로니아농장매</t>
        </is>
      </c>
      <c r="L2933" s="6">
        <f>HYPERLINK("https://fin.land.naver.com/articles/2655904685", "매물Link")</f>
        <v/>
      </c>
      <c r="M2933" s="6">
        <f>HYPERLINK("https://map.naver.com/p/search/전의면 관정리 260-2", "지도Link")</f>
        <v/>
      </c>
      <c r="N2933" s="6">
        <f>HYPERLINK("http://www.eum.go.kr/web/ar/lu/luLandDet.jsp?pnu=3611037027102600002&amp;isNoScr=script&amp;mode=search", "토지이음")</f>
        <v/>
      </c>
      <c r="O2933" s="3" t="inlineStr">
        <is>
          <t>도안힐스재벌</t>
        </is>
      </c>
      <c r="P2933" s="4" t="n">
        <v>1</v>
      </c>
      <c r="Q2933" s="4" t="n">
        <v>1858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관정리 260-2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53000</v>
      </c>
      <c r="G2934" s="4" t="n">
        <v>1858</v>
      </c>
      <c r="H2934" s="4" t="n">
        <v>562</v>
      </c>
      <c r="I2934" s="5" t="n">
        <v>94.3</v>
      </c>
      <c r="J2934" s="5" t="n">
        <v>49</v>
      </c>
      <c r="K2934" s="3" t="inlineStr">
        <is>
          <t>예쁜 농막 있어요 실수요 투자 모두 가능한 대도로변 토지</t>
        </is>
      </c>
      <c r="L2934" s="6">
        <f>HYPERLINK("https://fin.land.naver.com/articles/2654611576", "매물Link")</f>
        <v/>
      </c>
      <c r="M2934" s="6">
        <f>HYPERLINK("https://map.naver.com/p/search/전의면 관정리 260-2", "지도Link")</f>
        <v/>
      </c>
      <c r="N2934" s="6">
        <f>HYPERLINK("http://www.eum.go.kr/web/ar/lu/luLandDet.jsp?pnu=3611037027102600002&amp;isNoScr=script&amp;mode=search", "토지이음")</f>
        <v/>
      </c>
      <c r="O2934" s="3" t="inlineStr">
        <is>
          <t>아임</t>
        </is>
      </c>
      <c r="P2934" s="4" t="n">
        <v>1</v>
      </c>
      <c r="Q2934" s="4" t="n">
        <v>1858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맹지</t>
        </is>
      </c>
    </row>
    <row r="2935">
      <c r="A2935" s="3" t="inlineStr">
        <is>
          <t>전의면 관정리 261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35000</v>
      </c>
      <c r="G2935" s="4" t="n">
        <v>1127</v>
      </c>
      <c r="H2935" s="4" t="n">
        <v>341</v>
      </c>
      <c r="I2935" s="5" t="n">
        <v>102.6</v>
      </c>
      <c r="J2935" s="5" t="n">
        <v>51.7</v>
      </c>
      <c r="K2935" s="3" t="inlineStr">
        <is>
          <t>전의산업단지 인근 실수요 투자 모두 가능한 대도로변 토지</t>
        </is>
      </c>
      <c r="L2935" s="6">
        <f>HYPERLINK("https://fin.land.naver.com/articles/2655646437", "매물Link")</f>
        <v/>
      </c>
      <c r="M2935" s="6">
        <f>HYPERLINK("https://map.naver.com/p/search/전의면 관정리 261", "지도Link")</f>
        <v/>
      </c>
      <c r="N2935" s="6">
        <f>HYPERLINK("http://www.eum.go.kr/web/ar/lu/luLandDet.jsp?pnu=3611037027102610000&amp;isNoScr=script&amp;mode=search", "토지이음")</f>
        <v/>
      </c>
      <c r="O2935" s="3" t="inlineStr">
        <is>
          <t>아임</t>
        </is>
      </c>
      <c r="P2935" s="4" t="n">
        <v>1</v>
      </c>
      <c r="Q2935" s="4" t="n">
        <v>1127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관정리 424-2</t>
        </is>
      </c>
      <c r="B2936" s="3" t="inlineStr">
        <is>
          <t>계획관리지역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29000</v>
      </c>
      <c r="G2936" s="4" t="n">
        <v>232</v>
      </c>
      <c r="H2936" s="4" t="n">
        <v>70</v>
      </c>
      <c r="I2936" s="5" t="n">
        <v>414.3</v>
      </c>
      <c r="J2936" s="5" t="n">
        <v>32.1</v>
      </c>
      <c r="K2936" s="3" t="inlineStr">
        <is>
          <t>nan</t>
        </is>
      </c>
      <c r="L2936" s="6">
        <f>HYPERLINK("https://fin.land.naver.com/articles/2653373510", "매물Link")</f>
        <v/>
      </c>
      <c r="M2936" s="6">
        <f>HYPERLINK("https://map.naver.com/p/search/전의면 관정리 424-2", "지도Link")</f>
        <v/>
      </c>
      <c r="N2936" s="6">
        <f>HYPERLINK("http://www.eum.go.kr/web/ar/lu/luLandDet.jsp?pnu=3611037027104240002&amp;isNoScr=script&amp;mode=search", "토지이음")</f>
        <v/>
      </c>
      <c r="O2936" s="3" t="inlineStr">
        <is>
          <t>라클래시명문</t>
        </is>
      </c>
      <c r="P2936" s="4" t="n">
        <v>1</v>
      </c>
      <c r="Q2936" s="4" t="n">
        <v>251</v>
      </c>
      <c r="R2936" s="3" t="inlineStr">
        <is>
          <t>지정되지않음</t>
        </is>
      </c>
      <c r="S2936" s="3" t="inlineStr">
        <is>
          <t>단독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관정리 428-2</t>
        </is>
      </c>
      <c r="B2937" s="3" t="inlineStr">
        <is>
          <t>계획관리지역</t>
        </is>
      </c>
      <c r="C2937" s="3" t="inlineStr">
        <is>
          <t>임야</t>
        </is>
      </c>
      <c r="D2937" s="3" t="inlineStr">
        <is>
          <t>임야</t>
        </is>
      </c>
      <c r="E2937" s="3" t="inlineStr">
        <is>
          <t>매매</t>
        </is>
      </c>
      <c r="F2937" s="4" t="n">
        <v>104800</v>
      </c>
      <c r="G2937" s="4" t="n">
        <v>3464</v>
      </c>
      <c r="H2937" s="4" t="n">
        <v>1048</v>
      </c>
      <c r="I2937" s="5" t="n">
        <v>100</v>
      </c>
      <c r="J2937" s="5" t="n">
        <v>4.4</v>
      </c>
      <c r="K2937" s="3" t="inlineStr">
        <is>
          <t>공장 및 근생용지로 허가득  토목공사 완료 전용비 납부완료</t>
        </is>
      </c>
      <c r="L2937" s="6">
        <f>HYPERLINK("https://fin.land.naver.com/articles/2651710796", "매물Link")</f>
        <v/>
      </c>
      <c r="M2937" s="6">
        <f>HYPERLINK("https://map.naver.com/p/search/전의면 관정리 428-2", "지도Link")</f>
        <v/>
      </c>
      <c r="N2937" s="6">
        <f>HYPERLINK("http://www.eum.go.kr/web/ar/lu/luLandDet.jsp?pnu=3611037027104280002&amp;isNoScr=script&amp;mode=search", "토지이음")</f>
        <v/>
      </c>
      <c r="O2937" s="3" t="inlineStr">
        <is>
          <t>번영</t>
        </is>
      </c>
      <c r="P2937" s="4" t="n">
        <v>1</v>
      </c>
      <c r="Q2937" s="4" t="n">
        <v>2003</v>
      </c>
      <c r="R2937" s="3" t="inlineStr">
        <is>
          <t>지정되지않음</t>
        </is>
      </c>
      <c r="S2937" s="3" t="inlineStr">
        <is>
          <t>자연림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전의면 관정리 429-8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138500</v>
      </c>
      <c r="G2938" s="4" t="n">
        <v>4567</v>
      </c>
      <c r="H2938" s="4" t="n">
        <v>1382</v>
      </c>
      <c r="I2938" s="5" t="n">
        <v>100.2</v>
      </c>
      <c r="J2938" s="5" t="n">
        <v>21.1</v>
      </c>
      <c r="K2938" s="3" t="inlineStr">
        <is>
          <t>공장용지 허가완료 토목완료 물류 공자 창고 추천</t>
        </is>
      </c>
      <c r="L2938" s="6">
        <f>HYPERLINK("https://fin.land.naver.com/articles/2651733827", "매물Link")</f>
        <v/>
      </c>
      <c r="M2938" s="6">
        <f>HYPERLINK("https://map.naver.com/p/search/전의면 관정리 429-8", "지도Link")</f>
        <v/>
      </c>
      <c r="N2938" s="6">
        <f>HYPERLINK("http://www.eum.go.kr/web/ar/lu/luLandDet.jsp?pnu=3611037027104290008&amp;isNoScr=script&amp;mode=search", "토지이음")</f>
        <v/>
      </c>
      <c r="O2938" s="3" t="inlineStr">
        <is>
          <t>THE행복</t>
        </is>
      </c>
      <c r="P2938" s="4" t="n">
        <v>1</v>
      </c>
      <c r="Q2938" s="4" t="n">
        <v>4567</v>
      </c>
      <c r="R2938" s="3" t="inlineStr">
        <is>
          <t>지정되지않음</t>
        </is>
      </c>
      <c r="S2938" s="3" t="inlineStr">
        <is>
          <t>전기타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관정리 430</t>
        </is>
      </c>
      <c r="B2939" s="3" t="inlineStr">
        <is>
          <t>계획관리지역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535000</v>
      </c>
      <c r="G2939" s="4" t="n">
        <v>17687</v>
      </c>
      <c r="H2939" s="4" t="n">
        <v>5350</v>
      </c>
      <c r="I2939" s="5" t="n">
        <v>100</v>
      </c>
      <c r="J2939" s="5" t="n">
        <v>27.4</v>
      </c>
      <c r="K2939" s="3" t="inlineStr">
        <is>
          <t>공장 및 근생 허가 득하고 토목공사 완료되고 전용비 납부완료</t>
        </is>
      </c>
      <c r="L2939" s="6">
        <f>HYPERLINK("https://fin.land.naver.com/articles/2651710777", "매물Link")</f>
        <v/>
      </c>
      <c r="M2939" s="6">
        <f>HYPERLINK("https://map.naver.com/p/search/전의면 관정리 430", "지도Link")</f>
        <v/>
      </c>
      <c r="N2939" s="6">
        <f>HYPERLINK("http://www.eum.go.kr/web/ar/lu/luLandDet.jsp?pnu=3611037027104300000&amp;isNoScr=script&amp;mode=search", "토지이음")</f>
        <v/>
      </c>
      <c r="O2939" s="3" t="inlineStr">
        <is>
          <t>번영</t>
        </is>
      </c>
      <c r="P2939" s="4" t="n">
        <v>1</v>
      </c>
      <c r="Q2939" s="4" t="n">
        <v>3299</v>
      </c>
      <c r="R2939" s="3" t="inlineStr">
        <is>
          <t>지정되지않음</t>
        </is>
      </c>
      <c r="S2939" s="3" t="inlineStr">
        <is>
          <t>단독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관정리 504</t>
        </is>
      </c>
      <c r="B2940" s="3" t="inlineStr">
        <is>
          <t>계획관리지역</t>
        </is>
      </c>
      <c r="C2940" s="3" t="inlineStr">
        <is>
          <t>답</t>
        </is>
      </c>
      <c r="D2940" s="3" t="inlineStr">
        <is>
          <t>답</t>
        </is>
      </c>
      <c r="E2940" s="3" t="inlineStr">
        <is>
          <t>매매</t>
        </is>
      </c>
      <c r="F2940" s="4" t="n">
        <v>40000</v>
      </c>
      <c r="G2940" s="4" t="n">
        <v>1332</v>
      </c>
      <c r="H2940" s="4" t="n">
        <v>403</v>
      </c>
      <c r="I2940" s="5" t="n">
        <v>99.3</v>
      </c>
      <c r="J2940" s="5" t="n">
        <v>18</v>
      </c>
      <c r="K2940" s="3" t="inlineStr">
        <is>
          <t>산업단지들이 가까운 관정리 계획관리. 전으로 이용중</t>
        </is>
      </c>
      <c r="L2940" s="6">
        <f>HYPERLINK("https://fin.land.naver.com/articles/2652112781", "매물Link")</f>
        <v/>
      </c>
      <c r="M2940" s="6">
        <f>HYPERLINK("https://map.naver.com/p/search/전의면 관정리 504", "지도Link")</f>
        <v/>
      </c>
      <c r="N2940" s="6">
        <f>HYPERLINK("http://www.eum.go.kr/web/ar/lu/luLandDet.jsp?pnu=3611037027105040000&amp;isNoScr=script&amp;mode=search", "토지이음")</f>
        <v/>
      </c>
      <c r="O2940" s="3" t="inlineStr">
        <is>
          <t>미스터홈즈강남지사</t>
        </is>
      </c>
      <c r="P2940" s="4" t="n">
        <v>1</v>
      </c>
      <c r="Q2940" s="4" t="n">
        <v>1266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전의면 관정리 600</t>
        </is>
      </c>
      <c r="B2941" s="3" t="inlineStr">
        <is>
          <t>계획관리지역</t>
        </is>
      </c>
      <c r="C2941" s="3" t="inlineStr">
        <is>
          <t>잡종지</t>
        </is>
      </c>
      <c r="D2941" s="3" t="inlineStr">
        <is>
          <t>잡종지</t>
        </is>
      </c>
      <c r="E2941" s="3" t="inlineStr">
        <is>
          <t>월세</t>
        </is>
      </c>
      <c r="F2941" s="4" t="n">
        <v>30000</v>
      </c>
      <c r="G2941" s="4" t="n">
        <v>30418</v>
      </c>
      <c r="H2941" s="4" t="n">
        <v>9201</v>
      </c>
      <c r="I2941" s="5" t="n">
        <v>0.2</v>
      </c>
      <c r="J2941" s="5" t="n">
        <v>26.7</v>
      </c>
      <c r="K2941" s="3" t="inlineStr">
        <is>
          <t>경부고속도로,세종전의 산단인접 대형 야적장,주차장부지</t>
        </is>
      </c>
      <c r="L2941" s="6">
        <f>HYPERLINK("https://fin.land.naver.com/articles/2652644152", "매물Link")</f>
        <v/>
      </c>
      <c r="M2941" s="6">
        <f>HYPERLINK("https://map.naver.com/p/search/전의면 관정리 600", "지도Link")</f>
        <v/>
      </c>
      <c r="N2941" s="6">
        <f>HYPERLINK("http://www.eum.go.kr/web/ar/lu/luLandDet.jsp?pnu=3611037027106000000&amp;isNoScr=script&amp;mode=search", "토지이음")</f>
        <v/>
      </c>
      <c r="O2941" s="3" t="inlineStr">
        <is>
          <t>한길</t>
        </is>
      </c>
      <c r="P2941" s="4" t="n">
        <v>1</v>
      </c>
      <c r="Q2941" s="4" t="n">
        <v>7890</v>
      </c>
      <c r="R2941" s="3" t="inlineStr">
        <is>
          <t>지정되지않음</t>
        </is>
      </c>
      <c r="S2941" s="3" t="inlineStr">
        <is>
          <t>전창고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관정리 660-20</t>
        </is>
      </c>
      <c r="B2942" s="3" t="inlineStr">
        <is>
          <t>계획관리지역</t>
        </is>
      </c>
      <c r="C2942" s="3" t="inlineStr">
        <is>
          <t>임야</t>
        </is>
      </c>
      <c r="D2942" s="3" t="inlineStr">
        <is>
          <t>임야</t>
        </is>
      </c>
      <c r="E2942" s="3" t="inlineStr">
        <is>
          <t>매매</t>
        </is>
      </c>
      <c r="F2942" s="4" t="n">
        <v>298000</v>
      </c>
      <c r="G2942" s="4" t="n">
        <v>3945</v>
      </c>
      <c r="H2942" s="4" t="n">
        <v>1193</v>
      </c>
      <c r="I2942" s="5" t="n">
        <v>249.8</v>
      </c>
      <c r="J2942" s="5" t="n">
        <v>42.8</v>
      </c>
      <c r="K2942" s="3" t="inlineStr">
        <is>
          <t>도로25m 4차선 접한  계획관리 다목적용 토지,필지별 분할매매가능</t>
        </is>
      </c>
      <c r="L2942" s="6">
        <f>HYPERLINK("https://fin.land.naver.com/articles/2652651665", "매물Link")</f>
        <v/>
      </c>
      <c r="M2942" s="6">
        <f>HYPERLINK("https://map.naver.com/p/search/전의면 관정리 660-20", "지도Link")</f>
        <v/>
      </c>
      <c r="N2942" s="6">
        <f>HYPERLINK("http://www.eum.go.kr/web/ar/lu/luLandDet.jsp?pnu=3611037027106600020&amp;isNoScr=script&amp;mode=search", "토지이음")</f>
        <v/>
      </c>
      <c r="O2942" s="3" t="inlineStr">
        <is>
          <t>신부다온</t>
        </is>
      </c>
      <c r="P2942" s="4" t="n">
        <v>1</v>
      </c>
      <c r="Q2942" s="4" t="n">
        <v>2868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관정리 721</t>
        </is>
      </c>
      <c r="B2943" s="3" t="inlineStr">
        <is>
          <t>일반공업지역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70000</v>
      </c>
      <c r="G2943" s="4" t="n">
        <v>494</v>
      </c>
      <c r="H2943" s="4" t="n">
        <v>149</v>
      </c>
      <c r="I2943" s="5" t="n">
        <v>469.8</v>
      </c>
      <c r="J2943" s="5" t="n">
        <v>140.6</v>
      </c>
      <c r="K2943" s="3" t="inlineStr">
        <is>
          <t>l S l 전의산업단지 l 지원시설용지 l 신축 용도 추천 l</t>
        </is>
      </c>
      <c r="L2943" s="6">
        <f>HYPERLINK("https://fin.land.naver.com/articles/2656374286", "매물Link")</f>
        <v/>
      </c>
      <c r="M2943" s="6">
        <f>HYPERLINK("https://map.naver.com/p/search/전의면 관정리 721", "지도Link")</f>
        <v/>
      </c>
      <c r="N2943" s="6">
        <f>HYPERLINK("http://www.eum.go.kr/web/ar/lu/luLandDet.jsp?pnu=3611037027107210000&amp;isNoScr=script&amp;mode=search", "토지이음")</f>
        <v/>
      </c>
      <c r="O2943" s="3" t="inlineStr">
        <is>
          <t>에스</t>
        </is>
      </c>
      <c r="P2943" s="4" t="n">
        <v>1</v>
      </c>
      <c r="Q2943" s="4" t="n">
        <v>494.2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세로장방</t>
        </is>
      </c>
      <c r="V2943" s="3" t="inlineStr">
        <is>
          <t>중로각지</t>
        </is>
      </c>
    </row>
    <row r="2944">
      <c r="A2944" s="3" t="inlineStr">
        <is>
          <t>전의면 관정리 721</t>
        </is>
      </c>
      <c r="B2944" s="3" t="inlineStr">
        <is>
          <t>일반공업지역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70000</v>
      </c>
      <c r="G2944" s="4" t="n">
        <v>494</v>
      </c>
      <c r="H2944" s="4" t="n">
        <v>149</v>
      </c>
      <c r="I2944" s="5" t="n">
        <v>469.8</v>
      </c>
      <c r="J2944" s="5" t="n">
        <v>140.6</v>
      </c>
      <c r="K2944" s="3" t="inlineStr">
        <is>
          <t>나대지 전의면 일반산업단지 내  지원시설구역</t>
        </is>
      </c>
      <c r="L2944" s="6">
        <f>HYPERLINK("https://fin.land.naver.com/articles/2655549145", "매물Link")</f>
        <v/>
      </c>
      <c r="M2944" s="6">
        <f>HYPERLINK("https://map.naver.com/p/search/전의면 관정리 721", "지도Link")</f>
        <v/>
      </c>
      <c r="N2944" s="6">
        <f>HYPERLINK("http://www.eum.go.kr/web/ar/lu/luLandDet.jsp?pnu=3611037027107210000&amp;isNoScr=script&amp;mode=search", "토지이음")</f>
        <v/>
      </c>
      <c r="O2944" s="3" t="inlineStr">
        <is>
          <t>트리풀신화</t>
        </is>
      </c>
      <c r="P2944" s="4" t="n">
        <v>1</v>
      </c>
      <c r="Q2944" s="4" t="n">
        <v>494.2</v>
      </c>
      <c r="R2944" s="3" t="inlineStr">
        <is>
          <t>지정되지않음</t>
        </is>
      </c>
      <c r="S2944" s="3" t="inlineStr">
        <is>
          <t>상업나지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중로각지</t>
        </is>
      </c>
    </row>
    <row r="2945">
      <c r="A2945" s="3" t="inlineStr">
        <is>
          <t>전의면 관정리 79</t>
        </is>
      </c>
      <c r="B2945" s="3" t="inlineStr">
        <is>
          <t>농림지역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13000</v>
      </c>
      <c r="G2945" s="4" t="n">
        <v>1329</v>
      </c>
      <c r="H2945" s="4" t="n">
        <v>402</v>
      </c>
      <c r="I2945" s="5" t="n">
        <v>32.3</v>
      </c>
      <c r="J2945" s="5" t="n">
        <v>14.8</v>
      </c>
      <c r="K2945" s="3" t="inlineStr">
        <is>
          <t>급하게 매매요</t>
        </is>
      </c>
      <c r="L2945" s="6">
        <f>HYPERLINK("https://fin.land.naver.com/articles/2652364273", "매물Link")</f>
        <v/>
      </c>
      <c r="M2945" s="6">
        <f>HYPERLINK("https://map.naver.com/p/search/전의면 관정리 79", "지도Link")</f>
        <v/>
      </c>
      <c r="N2945" s="6">
        <f>HYPERLINK("http://www.eum.go.kr/web/ar/lu/luLandDet.jsp?pnu=3611037027100790000&amp;isNoScr=script&amp;mode=search", "토지이음")</f>
        <v/>
      </c>
      <c r="O2945" s="3" t="inlineStr">
        <is>
          <t>세종</t>
        </is>
      </c>
      <c r="P2945" s="4" t="n">
        <v>1</v>
      </c>
      <c r="Q2945" s="4" t="n">
        <v>1329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관정리 산1-3</t>
        </is>
      </c>
      <c r="B2946" s="3" t="inlineStr">
        <is>
          <t>계획관리지역</t>
        </is>
      </c>
      <c r="C2946" s="3" t="inlineStr">
        <is>
          <t>임야</t>
        </is>
      </c>
      <c r="D2946" s="3" t="inlineStr">
        <is>
          <t>전</t>
        </is>
      </c>
      <c r="E2946" s="3" t="inlineStr">
        <is>
          <t>매매</t>
        </is>
      </c>
      <c r="F2946" s="4" t="n">
        <v>2300000</v>
      </c>
      <c r="G2946" s="4" t="n">
        <v>37543</v>
      </c>
      <c r="H2946" s="4" t="n">
        <v>11357</v>
      </c>
      <c r="I2946" s="5" t="n">
        <v>202.5</v>
      </c>
      <c r="J2946" s="5" t="n">
        <v>15.7</v>
      </c>
      <c r="K2946" s="3" t="inlineStr">
        <is>
          <t>4차선 및 2차선 도로접 계획관리 분할매도 가능</t>
        </is>
      </c>
      <c r="L2946" s="6">
        <f>HYPERLINK("https://fin.land.naver.com/articles/2654750533", "매물Link")</f>
        <v/>
      </c>
      <c r="M2946" s="6">
        <f>HYPERLINK("https://map.naver.com/p/search/전의면 관정리 산1-3", "지도Link")</f>
        <v/>
      </c>
      <c r="N2946" s="6">
        <f>HYPERLINK("http://www.eum.go.kr/web/ar/lu/luLandDet.jsp?pnu=3611037027200010003&amp;isNoScr=script&amp;mode=search", "토지이음")</f>
        <v/>
      </c>
      <c r="O2946" s="3" t="inlineStr">
        <is>
          <t>광장(프라자)</t>
        </is>
      </c>
      <c r="P2946" s="4" t="n">
        <v>1</v>
      </c>
      <c r="Q2946" s="4" t="n">
        <v>1687</v>
      </c>
      <c r="R2946" s="3" t="inlineStr">
        <is>
          <t>지정되지않음</t>
        </is>
      </c>
      <c r="S2946" s="3" t="inlineStr">
        <is>
          <t>전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맹지</t>
        </is>
      </c>
    </row>
    <row r="2947">
      <c r="A2947" s="3" t="inlineStr">
        <is>
          <t>전의면 관정리 산66</t>
        </is>
      </c>
      <c r="B2947" s="3" t="inlineStr">
        <is>
          <t>계획관리지역</t>
        </is>
      </c>
      <c r="C2947" s="3" t="inlineStr">
        <is>
          <t>임야</t>
        </is>
      </c>
      <c r="D2947" s="3" t="inlineStr">
        <is>
          <t>임야</t>
        </is>
      </c>
      <c r="E2947" s="3" t="inlineStr">
        <is>
          <t>매매</t>
        </is>
      </c>
      <c r="F2947" s="4" t="n">
        <v>567000</v>
      </c>
      <c r="G2947" s="4" t="n">
        <v>53517</v>
      </c>
      <c r="H2947" s="4" t="n">
        <v>16189</v>
      </c>
      <c r="I2947" s="5" t="n">
        <v>35</v>
      </c>
      <c r="J2947" s="5" t="n">
        <v>4</v>
      </c>
      <c r="K2947" s="3" t="inlineStr">
        <is>
          <t>도로접한 토지 추천</t>
        </is>
      </c>
      <c r="L2947" s="6">
        <f>HYPERLINK("https://fin.land.naver.com/articles/2652928166", "매물Link")</f>
        <v/>
      </c>
      <c r="M2947" s="6">
        <f>HYPERLINK("https://map.naver.com/p/search/전의면 관정리 산66", "지도Link")</f>
        <v/>
      </c>
      <c r="N2947" s="6">
        <f>HYPERLINK("http://www.eum.go.kr/web/ar/lu/luLandDet.jsp?pnu=3611037027200660000&amp;isNoScr=script&amp;mode=search", "토지이음")</f>
        <v/>
      </c>
      <c r="O2947" s="3" t="inlineStr">
        <is>
          <t>국제</t>
        </is>
      </c>
      <c r="P2947" s="4" t="n">
        <v>1</v>
      </c>
      <c r="Q2947" s="4" t="n">
        <v>45602</v>
      </c>
      <c r="R2947" s="3" t="inlineStr">
        <is>
          <t>농림지역</t>
        </is>
      </c>
      <c r="S2947" s="3" t="inlineStr">
        <is>
          <t>자연림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관정리 산66</t>
        </is>
      </c>
      <c r="B2948" s="3" t="inlineStr">
        <is>
          <t>계획관리지역</t>
        </is>
      </c>
      <c r="C2948" s="3" t="inlineStr">
        <is>
          <t>임야</t>
        </is>
      </c>
      <c r="D2948" s="3" t="inlineStr">
        <is>
          <t>임야</t>
        </is>
      </c>
      <c r="E2948" s="3" t="inlineStr">
        <is>
          <t>매매</t>
        </is>
      </c>
      <c r="F2948" s="4" t="n">
        <v>560000</v>
      </c>
      <c r="G2948" s="4" t="n">
        <v>53517</v>
      </c>
      <c r="H2948" s="4" t="n">
        <v>16189</v>
      </c>
      <c r="I2948" s="5" t="n">
        <v>34.6</v>
      </c>
      <c r="J2948" s="5" t="n">
        <v>4</v>
      </c>
      <c r="K2948" s="3" t="inlineStr">
        <is>
          <t>공장, 창고, 다용도, 2차선 접함.</t>
        </is>
      </c>
      <c r="L2948" s="6">
        <f>HYPERLINK("https://fin.land.naver.com/articles/2655311353", "매물Link")</f>
        <v/>
      </c>
      <c r="M2948" s="6">
        <f>HYPERLINK("https://map.naver.com/p/search/전의면 관정리 산66", "지도Link")</f>
        <v/>
      </c>
      <c r="N2948" s="6">
        <f>HYPERLINK("http://www.eum.go.kr/web/ar/lu/luLandDet.jsp?pnu=3611037027200660000&amp;isNoScr=script&amp;mode=search", "토지이음")</f>
        <v/>
      </c>
      <c r="O2948" s="3" t="inlineStr">
        <is>
          <t>천안대성</t>
        </is>
      </c>
      <c r="P2948" s="4" t="n">
        <v>1</v>
      </c>
      <c r="Q2948" s="4" t="n">
        <v>45602</v>
      </c>
      <c r="R2948" s="3" t="inlineStr">
        <is>
          <t>농림지역</t>
        </is>
      </c>
      <c r="S2948" s="3" t="inlineStr">
        <is>
          <t>자연림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세로한면(불)</t>
        </is>
      </c>
    </row>
    <row r="2949">
      <c r="A2949" s="3" t="inlineStr">
        <is>
          <t>전의면 금사리 130-2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28000</v>
      </c>
      <c r="G2949" s="4" t="n">
        <v>1322</v>
      </c>
      <c r="H2949" s="4" t="n">
        <v>400</v>
      </c>
      <c r="I2949" s="5" t="n">
        <v>70</v>
      </c>
      <c r="J2949" s="5" t="n">
        <v>15.7</v>
      </c>
      <c r="K2949" s="3" t="inlineStr">
        <is>
          <t>계획관리토지매매</t>
        </is>
      </c>
      <c r="L2949" s="6">
        <f>HYPERLINK("https://fin.land.naver.com/articles/2655032775", "매물Link")</f>
        <v/>
      </c>
      <c r="M2949" s="6">
        <f>HYPERLINK("https://map.naver.com/p/search/전의면 금사리 130-2", "지도Link")</f>
        <v/>
      </c>
      <c r="N2949" s="6">
        <f>HYPERLINK("http://www.eum.go.kr/web/ar/lu/luLandDet.jsp?pnu=3611037034101300002&amp;isNoScr=script&amp;mode=search", "토지이음")</f>
        <v/>
      </c>
      <c r="O2949" s="3" t="inlineStr">
        <is>
          <t>세종대박</t>
        </is>
      </c>
      <c r="P2949" s="4" t="n">
        <v>1</v>
      </c>
      <c r="Q2949" s="4" t="n">
        <v>1322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부정형</t>
        </is>
      </c>
      <c r="V2949" s="3" t="inlineStr">
        <is>
          <t>세로한면(가)</t>
        </is>
      </c>
    </row>
    <row r="2950">
      <c r="A2950" s="3" t="inlineStr">
        <is>
          <t>전의면 금사리 131-2</t>
        </is>
      </c>
      <c r="B2950" s="3" t="inlineStr">
        <is>
          <t>계획관리지역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67000</v>
      </c>
      <c r="G2950" s="4" t="n">
        <v>2469</v>
      </c>
      <c r="H2950" s="4" t="n">
        <v>747</v>
      </c>
      <c r="I2950" s="5" t="n">
        <v>89.7</v>
      </c>
      <c r="J2950" s="5" t="n">
        <v>15.7</v>
      </c>
      <c r="K2950" s="3" t="inlineStr">
        <is>
          <t>산업단지 인근 지역 대토용 토지</t>
        </is>
      </c>
      <c r="L2950" s="6">
        <f>HYPERLINK("https://fin.land.naver.com/articles/2652406062", "매물Link")</f>
        <v/>
      </c>
      <c r="M2950" s="6">
        <f>HYPERLINK("https://map.naver.com/p/search/전의면 금사리 131-2", "지도Link")</f>
        <v/>
      </c>
      <c r="N2950" s="6">
        <f>HYPERLINK("http://www.eum.go.kr/web/ar/lu/luLandDet.jsp?pnu=3611037034101310002&amp;isNoScr=script&amp;mode=search", "토지이음")</f>
        <v/>
      </c>
      <c r="O2950" s="3" t="inlineStr">
        <is>
          <t>강우림</t>
        </is>
      </c>
      <c r="P2950" s="4" t="n">
        <v>1</v>
      </c>
      <c r="Q2950" s="4" t="n">
        <v>2469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부정형</t>
        </is>
      </c>
      <c r="V2950" s="3" t="inlineStr">
        <is>
          <t>세로한면(가)</t>
        </is>
      </c>
    </row>
    <row r="2951">
      <c r="A2951" s="3" t="inlineStr">
        <is>
          <t>전의면 금사리 159-2</t>
        </is>
      </c>
      <c r="B2951" s="3" t="inlineStr">
        <is>
          <t>생산관리지역</t>
        </is>
      </c>
      <c r="C2951" s="3" t="inlineStr">
        <is>
          <t>답</t>
        </is>
      </c>
      <c r="D2951" s="3" t="inlineStr">
        <is>
          <t>답</t>
        </is>
      </c>
      <c r="E2951" s="3" t="inlineStr">
        <is>
          <t>매매</t>
        </is>
      </c>
      <c r="F2951" s="4" t="n">
        <v>30000</v>
      </c>
      <c r="G2951" s="4" t="n">
        <v>721</v>
      </c>
      <c r="H2951" s="4" t="n">
        <v>218</v>
      </c>
      <c r="I2951" s="5" t="n">
        <v>137.6</v>
      </c>
      <c r="J2951" s="5" t="n">
        <v>16.8</v>
      </c>
      <c r="K2951" s="3" t="inlineStr">
        <is>
          <t>정안IC 인접, 토목완료된 세종 북부권 도로접 평탄지</t>
        </is>
      </c>
      <c r="L2951" s="6">
        <f>HYPERLINK("https://fin.land.naver.com/articles/2655033862", "매물Link")</f>
        <v/>
      </c>
      <c r="M2951" s="6">
        <f>HYPERLINK("https://map.naver.com/p/search/전의면 금사리 159-2", "지도Link")</f>
        <v/>
      </c>
      <c r="N2951" s="6">
        <f>HYPERLINK("http://www.eum.go.kr/web/ar/lu/luLandDet.jsp?pnu=3611037034101590002&amp;isNoScr=script&amp;mode=search", "토지이음")</f>
        <v/>
      </c>
      <c r="O2951" s="3" t="inlineStr">
        <is>
          <t>세종소담황금</t>
        </is>
      </c>
      <c r="P2951" s="4" t="n">
        <v>1</v>
      </c>
      <c r="Q2951" s="4" t="n">
        <v>721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소로한면</t>
        </is>
      </c>
    </row>
    <row r="2952">
      <c r="A2952" s="3" t="inlineStr">
        <is>
          <t>전의면 금사리 182-2</t>
        </is>
      </c>
      <c r="B2952" s="3" t="inlineStr">
        <is>
          <t>생산관리지역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43000</v>
      </c>
      <c r="G2952" s="4" t="n">
        <v>3260</v>
      </c>
      <c r="H2952" s="4" t="n">
        <v>986</v>
      </c>
      <c r="I2952" s="5" t="n">
        <v>43.6</v>
      </c>
      <c r="J2952" s="5" t="n">
        <v>13.5</v>
      </c>
      <c r="K2952" s="3" t="inlineStr">
        <is>
          <t>nan</t>
        </is>
      </c>
      <c r="L2952" s="6">
        <f>HYPERLINK("https://fin.land.naver.com/articles/2653585190", "매물Link")</f>
        <v/>
      </c>
      <c r="M2952" s="6">
        <f>HYPERLINK("https://map.naver.com/p/search/전의면 금사리 182-2", "지도Link")</f>
        <v/>
      </c>
      <c r="N2952" s="6">
        <f>HYPERLINK("http://www.eum.go.kr/web/ar/lu/luLandDet.jsp?pnu=3611037034101820002&amp;isNoScr=script&amp;mode=search", "토지이음")</f>
        <v/>
      </c>
      <c r="O2952" s="3" t="inlineStr">
        <is>
          <t>양달</t>
        </is>
      </c>
      <c r="P2952" s="4" t="n">
        <v>1</v>
      </c>
      <c r="Q2952" s="4" t="n">
        <v>3260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세로한면(불)</t>
        </is>
      </c>
    </row>
    <row r="2953">
      <c r="A2953" s="3" t="inlineStr">
        <is>
          <t>전의면 금사리 264-1</t>
        </is>
      </c>
      <c r="B2953" s="3" t="inlineStr">
        <is>
          <t>보전관리지역</t>
        </is>
      </c>
      <c r="C2953" s="3" t="inlineStr">
        <is>
          <t>답</t>
        </is>
      </c>
      <c r="D2953" s="3" t="inlineStr">
        <is>
          <t>답</t>
        </is>
      </c>
      <c r="E2953" s="3" t="inlineStr">
        <is>
          <t>매매</t>
        </is>
      </c>
      <c r="F2953" s="4" t="n">
        <v>42000</v>
      </c>
      <c r="G2953" s="4" t="n">
        <v>3967</v>
      </c>
      <c r="H2953" s="4" t="n">
        <v>1200</v>
      </c>
      <c r="I2953" s="5" t="n">
        <v>35</v>
      </c>
      <c r="J2953" s="5" t="n">
        <v>8</v>
      </c>
      <c r="K2953" s="3" t="inlineStr">
        <is>
          <t>태양광 전기 시설 가능한 토지</t>
        </is>
      </c>
      <c r="L2953" s="6">
        <f>HYPERLINK("https://fin.land.naver.com/articles/2652100948", "매물Link")</f>
        <v/>
      </c>
      <c r="M2953" s="6">
        <f>HYPERLINK("https://map.naver.com/p/search/전의면 금사리 264-1", "지도Link")</f>
        <v/>
      </c>
      <c r="N2953" s="6">
        <f>HYPERLINK("http://www.eum.go.kr/web/ar/lu/luLandDet.jsp?pnu=3611037034102640001&amp;isNoScr=script&amp;mode=search", "토지이음")</f>
        <v/>
      </c>
      <c r="O2953" s="3" t="inlineStr">
        <is>
          <t>강우림</t>
        </is>
      </c>
      <c r="P2953" s="4" t="n">
        <v>1</v>
      </c>
      <c r="Q2953" s="4" t="n">
        <v>3967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세로한면(불)</t>
        </is>
      </c>
    </row>
    <row r="2954">
      <c r="A2954" s="3" t="inlineStr">
        <is>
          <t>전의면 금사리 60</t>
        </is>
      </c>
      <c r="B2954" s="3" t="inlineStr">
        <is>
          <t>생산관리지역</t>
        </is>
      </c>
      <c r="C2954" s="3" t="inlineStr">
        <is>
          <t>전</t>
        </is>
      </c>
      <c r="D2954" s="3" t="inlineStr">
        <is>
          <t>전</t>
        </is>
      </c>
      <c r="E2954" s="3" t="inlineStr">
        <is>
          <t>매매</t>
        </is>
      </c>
      <c r="F2954" s="4" t="n">
        <v>7560</v>
      </c>
      <c r="G2954" s="4" t="n">
        <v>833</v>
      </c>
      <c r="H2954" s="4" t="n">
        <v>252</v>
      </c>
      <c r="I2954" s="5" t="n">
        <v>30</v>
      </c>
      <c r="J2954" s="5" t="n">
        <v>10.2</v>
      </c>
      <c r="K2954" s="3" t="inlineStr">
        <is>
          <t>생산관리 저렴한 토지 농로 있음</t>
        </is>
      </c>
      <c r="L2954" s="6">
        <f>HYPERLINK("https://fin.land.naver.com/articles/2656444216", "매물Link")</f>
        <v/>
      </c>
      <c r="M2954" s="6">
        <f>HYPERLINK("https://map.naver.com/p/search/전의면 금사리 60", "지도Link")</f>
        <v/>
      </c>
      <c r="N2954" s="6">
        <f>HYPERLINK("http://www.eum.go.kr/web/ar/lu/luLandDet.jsp?pnu=3611037034100600000&amp;isNoScr=script&amp;mode=search", "토지이음")</f>
        <v/>
      </c>
      <c r="O2954" s="3" t="inlineStr">
        <is>
          <t>(주)정민근</t>
        </is>
      </c>
      <c r="P2954" s="4" t="n">
        <v>1</v>
      </c>
      <c r="Q2954" s="4" t="n">
        <v>833</v>
      </c>
      <c r="R2954" s="3" t="inlineStr">
        <is>
          <t>지정되지않음</t>
        </is>
      </c>
      <c r="S2954" s="3" t="inlineStr">
        <is>
          <t>전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맹지</t>
        </is>
      </c>
    </row>
    <row r="2955">
      <c r="A2955" s="3" t="inlineStr">
        <is>
          <t>전의면 금사리 73</t>
        </is>
      </c>
      <c r="B2955" s="3" t="inlineStr">
        <is>
          <t>생산관리지역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18000</v>
      </c>
      <c r="G2955" s="4" t="n">
        <v>1481</v>
      </c>
      <c r="H2955" s="4" t="n">
        <v>448</v>
      </c>
      <c r="I2955" s="5" t="n">
        <v>40.2</v>
      </c>
      <c r="J2955" s="5" t="n">
        <v>8.800000000000001</v>
      </c>
      <c r="K2955" s="3" t="inlineStr">
        <is>
          <t>전의면 금사리 생산관리 토지 매매, 도로 옆, 영농활동 및 농막 추천</t>
        </is>
      </c>
      <c r="L2955" s="6">
        <f>HYPERLINK("https://fin.land.naver.com/articles/2654028101", "매물Link")</f>
        <v/>
      </c>
      <c r="M2955" s="6">
        <f>HYPERLINK("https://map.naver.com/p/search/전의면 금사리 73", "지도Link")</f>
        <v/>
      </c>
      <c r="N2955" s="6">
        <f>HYPERLINK("http://www.eum.go.kr/web/ar/lu/luLandDet.jsp?pnu=3611037034100730000&amp;isNoScr=script&amp;mode=search", "토지이음")</f>
        <v/>
      </c>
      <c r="O2955" s="3" t="inlineStr">
        <is>
          <t>스카이</t>
        </is>
      </c>
      <c r="P2955" s="4" t="n">
        <v>1</v>
      </c>
      <c r="Q2955" s="4" t="n">
        <v>1481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급경사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전의면 금사리 산26-4</t>
        </is>
      </c>
      <c r="B2956" s="3" t="inlineStr">
        <is>
          <t>생산관리지역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1653</v>
      </c>
      <c r="H2956" s="4" t="n">
        <v>500</v>
      </c>
      <c r="I2956" s="5" t="n">
        <v>36</v>
      </c>
      <c r="J2956" s="5" t="n">
        <v>2.3</v>
      </c>
      <c r="K2956" s="3" t="inlineStr">
        <is>
          <t>이정도 입지를 갖춘 임야 보셨어요</t>
        </is>
      </c>
      <c r="L2956" s="6">
        <f>HYPERLINK("https://fin.land.naver.com/articles/2651940389", "매물Link")</f>
        <v/>
      </c>
      <c r="M2956" s="6">
        <f>HYPERLINK("https://map.naver.com/p/search/전의면 금사리 산26-4", "지도Link")</f>
        <v/>
      </c>
      <c r="N2956" s="6">
        <f>HYPERLINK("http://www.eum.go.kr/web/ar/lu/luLandDet.jsp?pnu=3611037034200260004&amp;isNoScr=script&amp;mode=search", "토지이음")</f>
        <v/>
      </c>
      <c r="O2956" s="3" t="inlineStr">
        <is>
          <t>용궁</t>
        </is>
      </c>
      <c r="P2956" s="4" t="n">
        <v>1</v>
      </c>
      <c r="Q2956" s="4" t="n">
        <v>1653</v>
      </c>
      <c r="R2956" s="3" t="inlineStr">
        <is>
          <t>농림지역</t>
        </is>
      </c>
      <c r="S2956" s="3" t="inlineStr">
        <is>
          <t>자연림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금사리 산45-1</t>
        </is>
      </c>
      <c r="B2957" s="3" t="inlineStr">
        <is>
          <t>농림지역</t>
        </is>
      </c>
      <c r="C2957" s="3" t="inlineStr">
        <is>
          <t>임야</t>
        </is>
      </c>
      <c r="D2957" s="3" t="inlineStr">
        <is>
          <t>임야</t>
        </is>
      </c>
      <c r="E2957" s="3" t="inlineStr">
        <is>
          <t>매매</t>
        </is>
      </c>
      <c r="F2957" s="4" t="n">
        <v>27000</v>
      </c>
      <c r="G2957" s="4" t="n">
        <v>12896</v>
      </c>
      <c r="H2957" s="4" t="n">
        <v>3901</v>
      </c>
      <c r="I2957" s="5" t="n">
        <v>6.9</v>
      </c>
      <c r="J2957" s="5" t="n">
        <v>1.1</v>
      </c>
      <c r="K2957" s="3" t="inlineStr">
        <is>
          <t>급매 저렴한토지 투자굿</t>
        </is>
      </c>
      <c r="L2957" s="6">
        <f>HYPERLINK("https://fin.land.naver.com/articles/2655540097", "매물Link")</f>
        <v/>
      </c>
      <c r="M2957" s="6">
        <f>HYPERLINK("https://map.naver.com/p/search/전의면 금사리 산45-1", "지도Link")</f>
        <v/>
      </c>
      <c r="N2957" s="6">
        <f>HYPERLINK("http://www.eum.go.kr/web/ar/lu/luLandDet.jsp?pnu=3611037034200450001&amp;isNoScr=script&amp;mode=search", "토지이음")</f>
        <v/>
      </c>
      <c r="O2957" s="3" t="inlineStr">
        <is>
          <t>새롬이지</t>
        </is>
      </c>
      <c r="P2957" s="4" t="n">
        <v>1</v>
      </c>
      <c r="Q2957" s="4" t="n">
        <v>1986</v>
      </c>
      <c r="R2957" s="3" t="inlineStr">
        <is>
          <t>지정되지않음</t>
        </is>
      </c>
      <c r="S2957" s="3" t="inlineStr">
        <is>
          <t>자연림</t>
        </is>
      </c>
      <c r="T2957" s="3" t="inlineStr">
        <is>
          <t>급경사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금사리 산67-1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149760</v>
      </c>
      <c r="G2958" s="4" t="n">
        <v>41256</v>
      </c>
      <c r="H2958" s="4" t="n">
        <v>12480</v>
      </c>
      <c r="I2958" s="5" t="n">
        <v>12</v>
      </c>
      <c r="J2958" s="5" t="n">
        <v>2.2</v>
      </c>
      <c r="K2958" s="3" t="inlineStr">
        <is>
          <t>급매, 국도와 근접하고 사로 연결, 계획관리 53퍼, 인근 미래산업단지</t>
        </is>
      </c>
      <c r="L2958" s="6">
        <f>HYPERLINK("https://fin.land.naver.com/articles/2654651638", "매물Link")</f>
        <v/>
      </c>
      <c r="M2958" s="6">
        <f>HYPERLINK("https://map.naver.com/p/search/전의면 금사리 산67-1", "지도Link")</f>
        <v/>
      </c>
      <c r="N2958" s="6">
        <f>HYPERLINK("http://www.eum.go.kr/web/ar/lu/luLandDet.jsp?pnu=3611037034200670001&amp;isNoScr=script&amp;mode=search", "토지이음")</f>
        <v/>
      </c>
      <c r="O2958" s="3" t="inlineStr">
        <is>
          <t>온뜰</t>
        </is>
      </c>
      <c r="P2958" s="4" t="n">
        <v>1</v>
      </c>
      <c r="Q2958" s="4" t="n">
        <v>41256</v>
      </c>
      <c r="R2958" s="3" t="inlineStr">
        <is>
          <t>농림지역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전의면 금사리 산69</t>
        </is>
      </c>
      <c r="B2959" s="3" t="inlineStr">
        <is>
          <t>농림지역</t>
        </is>
      </c>
      <c r="C2959" s="3" t="inlineStr">
        <is>
          <t>임야</t>
        </is>
      </c>
      <c r="D2959" s="3" t="inlineStr">
        <is>
          <t>임야</t>
        </is>
      </c>
      <c r="E2959" s="3" t="inlineStr">
        <is>
          <t>매매</t>
        </is>
      </c>
      <c r="F2959" s="4" t="n">
        <v>51300</v>
      </c>
      <c r="G2959" s="4" t="n">
        <v>18843</v>
      </c>
      <c r="H2959" s="4" t="n">
        <v>5700</v>
      </c>
      <c r="I2959" s="5" t="n">
        <v>9</v>
      </c>
      <c r="J2959" s="5" t="n">
        <v>1.5</v>
      </c>
      <c r="K2959" s="3" t="inlineStr">
        <is>
          <t>세종시 미래산업단지 인근 저렴한 급매 임야</t>
        </is>
      </c>
      <c r="L2959" s="6">
        <f>HYPERLINK("https://fin.land.naver.com/articles/2653973555", "매물Link")</f>
        <v/>
      </c>
      <c r="M2959" s="6">
        <f>HYPERLINK("https://map.naver.com/p/search/전의면 금사리 산69", "지도Link")</f>
        <v/>
      </c>
      <c r="N2959" s="6">
        <f>HYPERLINK("http://www.eum.go.kr/web/ar/lu/luLandDet.jsp?pnu=3611037034200690000&amp;isNoScr=script&amp;mode=search", "토지이음")</f>
        <v/>
      </c>
      <c r="O2959" s="3" t="inlineStr">
        <is>
          <t>청담무소</t>
        </is>
      </c>
      <c r="P2959" s="4" t="n">
        <v>1</v>
      </c>
      <c r="Q2959" s="4" t="n">
        <v>18843</v>
      </c>
      <c r="R2959" s="3" t="inlineStr">
        <is>
          <t>계획관리지역</t>
        </is>
      </c>
      <c r="S2959" s="3" t="inlineStr">
        <is>
          <t>자연림</t>
        </is>
      </c>
      <c r="T2959" s="3" t="inlineStr">
        <is>
          <t>급경사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전의면 금사리 산72-4</t>
        </is>
      </c>
      <c r="B2960" s="3" t="inlineStr">
        <is>
          <t>보전관리지역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99000</v>
      </c>
      <c r="G2960" s="4" t="n">
        <v>12881</v>
      </c>
      <c r="H2960" s="4" t="n">
        <v>3897</v>
      </c>
      <c r="I2960" s="5" t="n">
        <v>25.4</v>
      </c>
      <c r="J2960" s="5" t="n">
        <v>2.9</v>
      </c>
      <c r="K2960" s="3" t="inlineStr">
        <is>
          <t>급매, 세종미래산단과 레이캐슬CC 인근으로 향후 개발가능성 매우 높은지역</t>
        </is>
      </c>
      <c r="L2960" s="6">
        <f>HYPERLINK("https://fin.land.naver.com/articles/2654389216", "매물Link")</f>
        <v/>
      </c>
      <c r="M2960" s="6">
        <f>HYPERLINK("https://map.naver.com/p/search/전의면 금사리 산72-4", "지도Link")</f>
        <v/>
      </c>
      <c r="N2960" s="6">
        <f>HYPERLINK("http://www.eum.go.kr/web/ar/lu/luLandDet.jsp?pnu=3611037034200720004&amp;isNoScr=script&amp;mode=search", "토지이음")</f>
        <v/>
      </c>
      <c r="O2960" s="3" t="inlineStr">
        <is>
          <t>온뜰</t>
        </is>
      </c>
      <c r="P2960" s="4" t="n">
        <v>1</v>
      </c>
      <c r="Q2960" s="4" t="n">
        <v>12881</v>
      </c>
      <c r="R2960" s="3" t="inlineStr">
        <is>
          <t>지정되지않음</t>
        </is>
      </c>
      <c r="S2960" s="3" t="inlineStr">
        <is>
          <t>자연림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맹지</t>
        </is>
      </c>
    </row>
    <row r="2961">
      <c r="A2961" s="3" t="inlineStr">
        <is>
          <t>전의면 노곡리 181-5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227000</v>
      </c>
      <c r="G2961" s="4" t="n">
        <v>7517</v>
      </c>
      <c r="H2961" s="4" t="n">
        <v>2274</v>
      </c>
      <c r="I2961" s="5" t="n">
        <v>99.8</v>
      </c>
      <c r="J2961" s="5" t="n">
        <v>11.9</v>
      </c>
      <c r="K2961" s="3" t="inlineStr">
        <is>
          <t>2274P  도로접</t>
        </is>
      </c>
      <c r="L2961" s="6">
        <f>HYPERLINK("https://fin.land.naver.com/articles/2656511096", "매물Link")</f>
        <v/>
      </c>
      <c r="M2961" s="6">
        <f>HYPERLINK("https://map.naver.com/p/search/전의면 노곡리 181-5", "지도Link")</f>
        <v/>
      </c>
      <c r="N2961" s="6">
        <f>HYPERLINK("http://www.eum.go.kr/web/ar/lu/luLandDet.jsp?pnu=3611037029101810005&amp;isNoScr=script&amp;mode=search", "토지이음")</f>
        <v/>
      </c>
      <c r="O2961" s="3" t="inlineStr">
        <is>
          <t>유명</t>
        </is>
      </c>
      <c r="P2961" s="4" t="n">
        <v>1</v>
      </c>
      <c r="Q2961" s="4" t="n">
        <v>1977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노곡리 315-2</t>
        </is>
      </c>
      <c r="B2962" s="3" t="inlineStr">
        <is>
          <t>계획관리지역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25000</v>
      </c>
      <c r="G2962" s="4" t="n">
        <v>1653</v>
      </c>
      <c r="H2962" s="4" t="n">
        <v>500</v>
      </c>
      <c r="I2962" s="5" t="n">
        <v>50</v>
      </c>
      <c r="J2962" s="5" t="n">
        <v>8.199999999999999</v>
      </c>
      <c r="K2962" s="3" t="inlineStr">
        <is>
          <t>전의일반산단 인근의 조용한 계획관리 전</t>
        </is>
      </c>
      <c r="L2962" s="6">
        <f>HYPERLINK("https://fin.land.naver.com/articles/2652106544", "매물Link")</f>
        <v/>
      </c>
      <c r="M2962" s="6">
        <f>HYPERLINK("https://map.naver.com/p/search/전의면 노곡리 315-2", "지도Link")</f>
        <v/>
      </c>
      <c r="N2962" s="6">
        <f>HYPERLINK("http://www.eum.go.kr/web/ar/lu/luLandDet.jsp?pnu=3611037029103150002&amp;isNoScr=script&amp;mode=search", "토지이음")</f>
        <v/>
      </c>
      <c r="O2962" s="3" t="inlineStr">
        <is>
          <t>미스터홈즈강남지사</t>
        </is>
      </c>
      <c r="P2962" s="4" t="n">
        <v>1</v>
      </c>
      <c r="Q2962" s="4" t="n">
        <v>1653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노곡리 산49-1</t>
        </is>
      </c>
      <c r="B2963" s="3" t="inlineStr">
        <is>
          <t>농림지역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100000</v>
      </c>
      <c r="G2963" s="4" t="n">
        <v>22017</v>
      </c>
      <c r="H2963" s="4" t="n">
        <v>6660</v>
      </c>
      <c r="I2963" s="5" t="n">
        <v>15</v>
      </c>
      <c r="J2963" s="5" t="n">
        <v>1.1</v>
      </c>
      <c r="K2963" s="3" t="inlineStr">
        <is>
          <t>임야 평당15만원</t>
        </is>
      </c>
      <c r="L2963" s="6">
        <f>HYPERLINK("https://fin.land.naver.com/articles/2656510214", "매물Link")</f>
        <v/>
      </c>
      <c r="M2963" s="6">
        <f>HYPERLINK("https://map.naver.com/p/search/전의면 노곡리 산49-1", "지도Link")</f>
        <v/>
      </c>
      <c r="N2963" s="6">
        <f>HYPERLINK("http://www.eum.go.kr/web/ar/lu/luLandDet.jsp?pnu=3611037029200490001&amp;isNoScr=script&amp;mode=search", "토지이음")</f>
        <v/>
      </c>
      <c r="O2963" s="3" t="inlineStr">
        <is>
          <t>유명</t>
        </is>
      </c>
      <c r="P2963" s="4" t="n">
        <v>1</v>
      </c>
      <c r="Q2963" s="4" t="n">
        <v>22017</v>
      </c>
      <c r="R2963" s="3" t="inlineStr">
        <is>
          <t>지정되지않음</t>
        </is>
      </c>
      <c r="S2963" s="3" t="inlineStr">
        <is>
          <t>자연림</t>
        </is>
      </c>
      <c r="T2963" s="3" t="inlineStr">
        <is>
          <t>급경사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다방리 119-2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132000</v>
      </c>
      <c r="G2964" s="4" t="n">
        <v>4370</v>
      </c>
      <c r="H2964" s="4" t="n">
        <v>1322</v>
      </c>
      <c r="I2964" s="5" t="n">
        <v>99.8</v>
      </c>
      <c r="J2964" s="5" t="n">
        <v>18.3</v>
      </c>
      <c r="K2964" s="3" t="inlineStr">
        <is>
          <t>2차선 도로에 접해있는 생산관리지역의 투자용 토지, 절충가능 합니다</t>
        </is>
      </c>
      <c r="L2964" s="6">
        <f>HYPERLINK("https://fin.land.naver.com/articles/2650950245", "매물Link")</f>
        <v/>
      </c>
      <c r="M2964" s="6">
        <f>HYPERLINK("https://map.naver.com/p/search/전의면 다방리 119-2", "지도Link")</f>
        <v/>
      </c>
      <c r="N2964" s="6">
        <f>HYPERLINK("http://www.eum.go.kr/web/ar/lu/luLandDet.jsp?pnu=3611037035101190002&amp;isNoScr=script&amp;mode=search", "토지이음")</f>
        <v/>
      </c>
      <c r="O2964" s="3" t="inlineStr">
        <is>
          <t>스마일세종</t>
        </is>
      </c>
      <c r="P2964" s="4" t="n">
        <v>1</v>
      </c>
      <c r="Q2964" s="4" t="n">
        <v>3452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전의면 다방리 141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</v>
      </c>
      <c r="G2965" s="4" t="n">
        <v>255</v>
      </c>
      <c r="H2965" s="4" t="n">
        <v>77</v>
      </c>
      <c r="I2965" s="5" t="n">
        <v>58.4</v>
      </c>
      <c r="J2965" s="5" t="n">
        <v>16.5</v>
      </c>
      <c r="K2965" s="3" t="inlineStr">
        <is>
          <t>도로접한 소규모 대지입니다</t>
        </is>
      </c>
      <c r="L2965" s="6">
        <f>HYPERLINK("https://fin.land.naver.com/articles/2656385410", "매물Link")</f>
        <v/>
      </c>
      <c r="M2965" s="6">
        <f>HYPERLINK("https://map.naver.com/p/search/전의면 다방리 141", "지도Link")</f>
        <v/>
      </c>
      <c r="N2965" s="6">
        <f>HYPERLINK("http://www.eum.go.kr/web/ar/lu/luLandDet.jsp?pnu=3611037035101410000&amp;isNoScr=script&amp;mode=search", "토지이음")</f>
        <v/>
      </c>
      <c r="O2965" s="3" t="inlineStr">
        <is>
          <t>성환1번지</t>
        </is>
      </c>
      <c r="P2965" s="4" t="n">
        <v>1</v>
      </c>
      <c r="Q2965" s="4" t="n">
        <v>255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전의면 다방리 161-1</t>
        </is>
      </c>
      <c r="B2966" s="3" t="inlineStr">
        <is>
          <t>계획관리지역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17000</v>
      </c>
      <c r="G2966" s="4" t="n">
        <v>352</v>
      </c>
      <c r="H2966" s="4" t="n">
        <v>106</v>
      </c>
      <c r="I2966" s="5" t="n">
        <v>160.4</v>
      </c>
      <c r="J2966" s="5" t="n">
        <v>32.5</v>
      </c>
      <c r="K2966" s="3" t="inlineStr">
        <is>
          <t>L.D.  급매 계획관리지역 나대지 실거주나 투자용 추천 포장도로 인접</t>
        </is>
      </c>
      <c r="L2966" s="6">
        <f>HYPERLINK("https://fin.land.naver.com/articles/2654210158", "매물Link")</f>
        <v/>
      </c>
      <c r="M2966" s="6">
        <f>HYPERLINK("https://map.naver.com/p/search/전의면 다방리 161-1", "지도Link")</f>
        <v/>
      </c>
      <c r="N2966" s="6">
        <f>HYPERLINK("http://www.eum.go.kr/web/ar/lu/luLandDet.jsp?pnu=3611037035101610001&amp;isNoScr=script&amp;mode=search", "토지이음")</f>
        <v/>
      </c>
      <c r="O2966" s="3" t="inlineStr">
        <is>
          <t>리드</t>
        </is>
      </c>
      <c r="P2966" s="4" t="n">
        <v>1</v>
      </c>
      <c r="Q2966" s="4" t="n">
        <v>352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다방리 239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17000</v>
      </c>
      <c r="G2967" s="4" t="n">
        <v>1864</v>
      </c>
      <c r="H2967" s="4" t="n">
        <v>564</v>
      </c>
      <c r="I2967" s="5" t="n">
        <v>30.1</v>
      </c>
      <c r="J2967" s="5" t="n">
        <v>17.1</v>
      </c>
      <c r="K2967" s="3" t="inlineStr">
        <is>
          <t>투자가치 좋은 자경지, 생산관리 농지, 가축사육 가능</t>
        </is>
      </c>
      <c r="L2967" s="6">
        <f>HYPERLINK("https://fin.land.naver.com/articles/2655565007", "매물Link")</f>
        <v/>
      </c>
      <c r="M2967" s="6">
        <f>HYPERLINK("https://map.naver.com/p/search/전의면 다방리 239", "지도Link")</f>
        <v/>
      </c>
      <c r="N2967" s="6">
        <f>HYPERLINK("http://www.eum.go.kr/web/ar/lu/luLandDet.jsp?pnu=3611037035102390000&amp;isNoScr=script&amp;mode=search", "토지이음")</f>
        <v/>
      </c>
      <c r="O2967" s="3" t="inlineStr">
        <is>
          <t>OK세종</t>
        </is>
      </c>
      <c r="P2967" s="4" t="n">
        <v>4</v>
      </c>
      <c r="Q2967" s="4" t="n">
        <v>1864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다방리 239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17000</v>
      </c>
      <c r="G2968" s="4" t="n">
        <v>1864</v>
      </c>
      <c r="H2968" s="4" t="n">
        <v>564</v>
      </c>
      <c r="I2968" s="5" t="n">
        <v>30.1</v>
      </c>
      <c r="J2968" s="5" t="n">
        <v>17.1</v>
      </c>
      <c r="K2968" s="3" t="inlineStr">
        <is>
          <t>급매,현재 밭으로 사용중이며,현황도로 ,가격 조율해 볼게요</t>
        </is>
      </c>
      <c r="L2968" s="6">
        <f>HYPERLINK("https://fin.land.naver.com/articles/2651664285", "매물Link")</f>
        <v/>
      </c>
      <c r="M2968" s="6">
        <f>HYPERLINK("https://map.naver.com/p/search/전의면 다방리 239", "지도Link")</f>
        <v/>
      </c>
      <c r="N2968" s="6">
        <f>HYPERLINK("http://www.eum.go.kr/web/ar/lu/luLandDet.jsp?pnu=3611037035102390000&amp;isNoScr=script&amp;mode=search", "토지이음")</f>
        <v/>
      </c>
      <c r="O2968" s="3" t="inlineStr">
        <is>
          <t>나릿재OK</t>
        </is>
      </c>
      <c r="P2968" s="4" t="n">
        <v>1</v>
      </c>
      <c r="Q2968" s="4" t="n">
        <v>1864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다방리 274</t>
        </is>
      </c>
      <c r="B2969" s="3" t="inlineStr">
        <is>
          <t>생산관리지역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70000</v>
      </c>
      <c r="G2969" s="4" t="n">
        <v>3089</v>
      </c>
      <c r="H2969" s="4" t="n">
        <v>934</v>
      </c>
      <c r="I2969" s="5" t="n">
        <v>74.90000000000001</v>
      </c>
      <c r="J2969" s="5" t="n">
        <v>14.9</v>
      </c>
      <c r="K2969" s="3" t="inlineStr">
        <is>
          <t>포장도로에 접한 생산관리지역, 성장관리계획구역의 농촌체류형 쉼터로 적합</t>
        </is>
      </c>
      <c r="L2969" s="6">
        <f>HYPERLINK("https://fin.land.naver.com/articles/2653247828", "매물Link")</f>
        <v/>
      </c>
      <c r="M2969" s="6">
        <f>HYPERLINK("https://map.naver.com/p/search/전의면 다방리 274", "지도Link")</f>
        <v/>
      </c>
      <c r="N2969" s="6">
        <f>HYPERLINK("http://www.eum.go.kr/web/ar/lu/luLandDet.jsp?pnu=3611037035102740000&amp;isNoScr=script&amp;mode=search", "토지이음")</f>
        <v/>
      </c>
      <c r="O2969" s="3" t="inlineStr">
        <is>
          <t>스마일세종</t>
        </is>
      </c>
      <c r="P2969" s="4" t="n">
        <v>1</v>
      </c>
      <c r="Q2969" s="4" t="n">
        <v>3089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사다리형</t>
        </is>
      </c>
      <c r="V2969" s="3" t="inlineStr">
        <is>
          <t>세로한면(불)</t>
        </is>
      </c>
    </row>
    <row r="2970">
      <c r="A2970" s="3" t="inlineStr">
        <is>
          <t>전의면 다방리 300</t>
        </is>
      </c>
      <c r="B2970" s="3" t="inlineStr">
        <is>
          <t>농림지역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66000</v>
      </c>
      <c r="G2970" s="4" t="n">
        <v>6236</v>
      </c>
      <c r="H2970" s="4" t="n">
        <v>1886</v>
      </c>
      <c r="I2970" s="5" t="n">
        <v>35</v>
      </c>
      <c r="J2970" s="5" t="n">
        <v>12.6</v>
      </c>
      <c r="K2970" s="3" t="inlineStr">
        <is>
          <t>급매물로 6236.6㎡ 매매 및 3필지로 분할해서 매매도 가능합니다.</t>
        </is>
      </c>
      <c r="L2970" s="6">
        <f>HYPERLINK("https://fin.land.naver.com/articles/2656197544", "매물Link")</f>
        <v/>
      </c>
      <c r="M2970" s="6">
        <f>HYPERLINK("https://map.naver.com/p/search/전의면 다방리 300", "지도Link")</f>
        <v/>
      </c>
      <c r="N2970" s="6">
        <f>HYPERLINK("http://www.eum.go.kr/web/ar/lu/luLandDet.jsp?pnu=3611037035103000000&amp;isNoScr=script&amp;mode=search", "토지이음")</f>
        <v/>
      </c>
      <c r="O2970" s="3" t="inlineStr">
        <is>
          <t>가람</t>
        </is>
      </c>
      <c r="P2970" s="4" t="n">
        <v>2</v>
      </c>
      <c r="Q2970" s="4" t="n">
        <v>6236.6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다방리 330</t>
        </is>
      </c>
      <c r="B2971" s="3" t="inlineStr">
        <is>
          <t>생산관리지역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56000</v>
      </c>
      <c r="G2971" s="4" t="n">
        <v>3719</v>
      </c>
      <c r="H2971" s="4" t="n">
        <v>1125</v>
      </c>
      <c r="I2971" s="5" t="n">
        <v>49.8</v>
      </c>
      <c r="J2971" s="5" t="n">
        <v>11.8</v>
      </c>
      <c r="K2971" s="3" t="inlineStr">
        <is>
          <t>관리지역토지</t>
        </is>
      </c>
      <c r="L2971" s="6">
        <f>HYPERLINK("https://fin.land.naver.com/articles/2655169454", "매물Link")</f>
        <v/>
      </c>
      <c r="M2971" s="6">
        <f>HYPERLINK("https://map.naver.com/p/search/전의면 다방리 330", "지도Link")</f>
        <v/>
      </c>
      <c r="N2971" s="6">
        <f>HYPERLINK("http://www.eum.go.kr/web/ar/lu/luLandDet.jsp?pnu=3611037035103300000&amp;isNoScr=script&amp;mode=search", "토지이음")</f>
        <v/>
      </c>
      <c r="O2971" s="3" t="inlineStr">
        <is>
          <t>세종대박</t>
        </is>
      </c>
      <c r="P2971" s="4" t="n">
        <v>1</v>
      </c>
      <c r="Q2971" s="4" t="n">
        <v>3719</v>
      </c>
      <c r="R2971" s="3" t="inlineStr">
        <is>
          <t>지정되지않음</t>
        </is>
      </c>
      <c r="S2971" s="3" t="inlineStr">
        <is>
          <t>답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세로한면(불)</t>
        </is>
      </c>
    </row>
    <row r="2972">
      <c r="A2972" s="3" t="inlineStr">
        <is>
          <t>전의면 다방리 367</t>
        </is>
      </c>
      <c r="B2972" s="3" t="inlineStr">
        <is>
          <t>계획관리지역</t>
        </is>
      </c>
      <c r="C2972" s="3" t="inlineStr">
        <is>
          <t>창고용지</t>
        </is>
      </c>
      <c r="D2972" s="3" t="inlineStr">
        <is>
          <t>대</t>
        </is>
      </c>
      <c r="E2972" s="3" t="inlineStr">
        <is>
          <t>매매</t>
        </is>
      </c>
      <c r="F2972" s="4" t="n">
        <v>97500</v>
      </c>
      <c r="G2972" s="4" t="n">
        <v>3584</v>
      </c>
      <c r="H2972" s="4" t="n">
        <v>1084</v>
      </c>
      <c r="I2972" s="5" t="n">
        <v>89.90000000000001</v>
      </c>
      <c r="J2972" s="5" t="n">
        <v>31.3</v>
      </c>
      <c r="K2972" s="3" t="inlineStr">
        <is>
          <t>리모델링한 단독주택, 창고3동. 냉동고, 저온고 있음.</t>
        </is>
      </c>
      <c r="L2972" s="6">
        <f>HYPERLINK("https://fin.land.naver.com/articles/2654233843", "매물Link")</f>
        <v/>
      </c>
      <c r="M2972" s="6">
        <f>HYPERLINK("https://map.naver.com/p/search/전의면 다방리 367", "지도Link")</f>
        <v/>
      </c>
      <c r="N2972" s="6">
        <f>HYPERLINK("http://www.eum.go.kr/web/ar/lu/luLandDet.jsp?pnu=3611037035103670000&amp;isNoScr=script&amp;mode=search",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660</v>
      </c>
      <c r="R2972" s="3" t="inlineStr">
        <is>
          <t>지정되지않음</t>
        </is>
      </c>
      <c r="S2972" s="3" t="inlineStr">
        <is>
          <t>주거기타</t>
        </is>
      </c>
      <c r="T2972" s="3" t="inlineStr">
        <is>
          <t>완경사</t>
        </is>
      </c>
      <c r="U2972" s="3" t="inlineStr">
        <is>
          <t>자루형</t>
        </is>
      </c>
      <c r="V2972" s="3" t="inlineStr">
        <is>
          <t>세로한면(가)</t>
        </is>
      </c>
    </row>
    <row r="2973">
      <c r="A2973" s="3" t="inlineStr">
        <is>
          <t>전의면 다방리 490-1</t>
        </is>
      </c>
      <c r="B2973" s="3" t="inlineStr">
        <is>
          <t>생산관리지역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35000</v>
      </c>
      <c r="G2973" s="4" t="n">
        <v>1652</v>
      </c>
      <c r="H2973" s="4" t="n">
        <v>500</v>
      </c>
      <c r="I2973" s="5" t="n">
        <v>70</v>
      </c>
      <c r="J2973" s="5" t="n">
        <v>18.2</v>
      </c>
      <c r="K2973" s="3" t="inlineStr">
        <is>
          <t>도로 접한 생산관리지역, 성장관리계획구역 토지</t>
        </is>
      </c>
      <c r="L2973" s="6">
        <f>HYPERLINK("https://fin.land.naver.com/articles/2651898491", "매물Link")</f>
        <v/>
      </c>
      <c r="M2973" s="6">
        <f>HYPERLINK("https://map.naver.com/p/search/전의면 다방리 490-1", "지도Link")</f>
        <v/>
      </c>
      <c r="N2973" s="6">
        <f>HYPERLINK("http://www.eum.go.kr/web/ar/lu/luLandDet.jsp?pnu=3611037035104900001&amp;isNoScr=script&amp;mode=search", "토지이음")</f>
        <v/>
      </c>
      <c r="O2973" s="3" t="inlineStr">
        <is>
          <t>새롬삼둥이</t>
        </is>
      </c>
      <c r="P2973" s="4" t="n">
        <v>1</v>
      </c>
      <c r="Q2973" s="4" t="n">
        <v>1652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완경사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다방리 산26-9</t>
        </is>
      </c>
      <c r="B2974" s="3" t="inlineStr">
        <is>
          <t>농림지역</t>
        </is>
      </c>
      <c r="C2974" s="3" t="inlineStr">
        <is>
          <t>임야</t>
        </is>
      </c>
      <c r="D2974" s="3" t="inlineStr">
        <is>
          <t>임야</t>
        </is>
      </c>
      <c r="E2974" s="3" t="inlineStr">
        <is>
          <t>매매</t>
        </is>
      </c>
      <c r="F2974" s="4" t="n">
        <v>500</v>
      </c>
      <c r="G2974" s="4" t="n">
        <v>661</v>
      </c>
      <c r="H2974" s="4" t="n">
        <v>200</v>
      </c>
      <c r="I2974" s="5" t="n">
        <v>2.5</v>
      </c>
      <c r="J2974" s="5" t="n">
        <v>1</v>
      </c>
      <c r="K2974" s="3" t="inlineStr">
        <is>
          <t>급매 시세보다 훨씬 저렴하게 매매합니다</t>
        </is>
      </c>
      <c r="L2974" s="6">
        <f>HYPERLINK("https://fin.land.naver.com/articles/2654654720", "매물Link")</f>
        <v/>
      </c>
      <c r="M2974" s="6">
        <f>HYPERLINK("https://map.naver.com/p/search/전의면 다방리 산26-9", "지도Link")</f>
        <v/>
      </c>
      <c r="N2974" s="6">
        <f>HYPERLINK("http://www.eum.go.kr/web/ar/lu/luLandDet.jsp?pnu=3611037035200260009&amp;isNoScr=script&amp;mode=search", "토지이음")</f>
        <v/>
      </c>
      <c r="O2974" s="3" t="inlineStr">
        <is>
          <t>다해사무소</t>
        </is>
      </c>
      <c r="P2974" s="4" t="n">
        <v>1</v>
      </c>
      <c r="Q2974" s="4" t="n">
        <v>90232</v>
      </c>
      <c r="R2974" s="3" t="inlineStr">
        <is>
          <t>보전관리지역</t>
        </is>
      </c>
      <c r="S2974" s="3" t="inlineStr">
        <is>
          <t>자연림</t>
        </is>
      </c>
      <c r="T2974" s="3" t="inlineStr">
        <is>
          <t>급경사</t>
        </is>
      </c>
      <c r="U2974" s="3" t="inlineStr">
        <is>
          <t>부정형</t>
        </is>
      </c>
      <c r="V2974" s="3" t="inlineStr">
        <is>
          <t>세로한면(불)</t>
        </is>
      </c>
    </row>
    <row r="2975">
      <c r="A2975" s="3" t="inlineStr">
        <is>
          <t>전의면 달전리 152-14</t>
        </is>
      </c>
      <c r="B2975" s="3" t="inlineStr">
        <is>
          <t>보전관리지역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39000</v>
      </c>
      <c r="G2975" s="4" t="n">
        <v>860</v>
      </c>
      <c r="H2975" s="4" t="n">
        <v>260</v>
      </c>
      <c r="I2975" s="5" t="n">
        <v>150</v>
      </c>
      <c r="J2975" s="5" t="n">
        <v>1.7</v>
      </c>
      <c r="K2975" s="3" t="inlineStr">
        <is>
          <t>nan</t>
        </is>
      </c>
      <c r="L2975" s="6">
        <f>HYPERLINK("https://fin.land.naver.com/articles/2656205265", "매물Link")</f>
        <v/>
      </c>
      <c r="M2975" s="6">
        <f>HYPERLINK("https://map.naver.com/p/search/전의면 달전리 152-14", "지도Link")</f>
        <v/>
      </c>
      <c r="N2975" s="6">
        <f>HYPERLINK("http://www.eum.go.kr/web/ar/lu/luLandDet.jsp?pnu=3611037033101520014&amp;isNoScr=script&amp;mode=search", "토지이음")</f>
        <v/>
      </c>
      <c r="O2975" s="3" t="inlineStr">
        <is>
          <t>나침반</t>
        </is>
      </c>
      <c r="P2975" s="4" t="n">
        <v>1</v>
      </c>
      <c r="Q2975" s="4" t="n">
        <v>824</v>
      </c>
      <c r="R2975" s="3" t="inlineStr">
        <is>
          <t>지정되지않음</t>
        </is>
      </c>
      <c r="S2975" s="3" t="inlineStr">
        <is>
          <t>자연림</t>
        </is>
      </c>
      <c r="T2975" s="3" t="inlineStr">
        <is>
          <t>급경사</t>
        </is>
      </c>
      <c r="U2975" s="3" t="inlineStr">
        <is>
          <t>사다리형</t>
        </is>
      </c>
      <c r="V2975" s="3" t="inlineStr">
        <is>
          <t>세로한면(불)</t>
        </is>
      </c>
    </row>
    <row r="2976">
      <c r="A2976" s="3" t="inlineStr">
        <is>
          <t>전의면 달전리 162-1</t>
        </is>
      </c>
      <c r="B2976" s="3" t="inlineStr">
        <is>
          <t>생산관리지역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15000</v>
      </c>
      <c r="G2976" s="4" t="n">
        <v>1983</v>
      </c>
      <c r="H2976" s="4" t="n">
        <v>600</v>
      </c>
      <c r="I2976" s="5" t="n">
        <v>25</v>
      </c>
      <c r="J2976" s="5" t="n">
        <v>10.6</v>
      </c>
      <c r="K2976" s="3" t="inlineStr">
        <is>
          <t>평당25만원, 저렴하게 구입가능합니다.</t>
        </is>
      </c>
      <c r="L2976" s="6">
        <f>HYPERLINK("https://fin.land.naver.com/articles/2655095574", "매물Link")</f>
        <v/>
      </c>
      <c r="M2976" s="6">
        <f>HYPERLINK("https://map.naver.com/p/search/전의면 달전리 162-1", "지도Link")</f>
        <v/>
      </c>
      <c r="N2976" s="6">
        <f>HYPERLINK("http://www.eum.go.kr/web/ar/lu/luLandDet.jsp?pnu=3611037033101620001&amp;isNoScr=script&amp;mode=search", "토지이음")</f>
        <v/>
      </c>
      <c r="O2976" s="3" t="inlineStr">
        <is>
          <t>킹</t>
        </is>
      </c>
      <c r="P2976" s="4" t="n">
        <v>1</v>
      </c>
      <c r="Q2976" s="4" t="n">
        <v>1983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맹지</t>
        </is>
      </c>
    </row>
    <row r="2977">
      <c r="A2977" s="3" t="inlineStr">
        <is>
          <t>전의면 달전리 264-2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66000</v>
      </c>
      <c r="G2977" s="4" t="n">
        <v>992</v>
      </c>
      <c r="H2977" s="4" t="n">
        <v>300</v>
      </c>
      <c r="I2977" s="5" t="n">
        <v>220</v>
      </c>
      <c r="J2977" s="5" t="n">
        <v>20.8</v>
      </c>
      <c r="K2977" s="3" t="inlineStr">
        <is>
          <t>계획관리, 2차선접</t>
        </is>
      </c>
      <c r="L2977" s="6">
        <f>HYPERLINK("https://fin.land.naver.com/articles/2651522678", "매물Link")</f>
        <v/>
      </c>
      <c r="M2977" s="6">
        <f>HYPERLINK("https://map.naver.com/p/search/전의면 달전리 264-2", "지도Link")</f>
        <v/>
      </c>
      <c r="N2977" s="6">
        <f>HYPERLINK("http://www.eum.go.kr/web/ar/lu/luLandDet.jsp?pnu=3611037033102640002&amp;isNoScr=script&amp;mode=search", "토지이음")</f>
        <v/>
      </c>
      <c r="O2977" s="3" t="inlineStr">
        <is>
          <t>이기영</t>
        </is>
      </c>
      <c r="P2977" s="4" t="n">
        <v>1</v>
      </c>
      <c r="Q2977" s="4" t="n">
        <v>992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소로한면</t>
        </is>
      </c>
    </row>
    <row r="2978">
      <c r="A2978" s="3" t="inlineStr">
        <is>
          <t>전의면 달전리 322</t>
        </is>
      </c>
      <c r="B2978" s="3" t="inlineStr">
        <is>
          <t>생산관리지역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53450</v>
      </c>
      <c r="G2978" s="4" t="n">
        <v>3207</v>
      </c>
      <c r="H2978" s="4" t="n">
        <v>970</v>
      </c>
      <c r="I2978" s="5" t="n">
        <v>55.1</v>
      </c>
      <c r="J2978" s="5" t="n">
        <v>7.8</v>
      </c>
      <c r="K2978" s="3" t="inlineStr">
        <is>
          <t>생산관리지역</t>
        </is>
      </c>
      <c r="L2978" s="6">
        <f>HYPERLINK("https://fin.land.naver.com/articles/2656560227", "매물Link")</f>
        <v/>
      </c>
      <c r="M2978" s="6">
        <f>HYPERLINK("https://map.naver.com/p/search/전의면 달전리 322", "지도Link")</f>
        <v/>
      </c>
      <c r="N2978" s="6">
        <f>HYPERLINK("http://www.eum.go.kr/web/ar/lu/luLandDet.jsp?pnu=3611037033103220000&amp;isNoScr=script&amp;mode=search", "토지이음")</f>
        <v/>
      </c>
      <c r="O2978" s="3" t="inlineStr">
        <is>
          <t>라임</t>
        </is>
      </c>
      <c r="P2978" s="4" t="n">
        <v>1</v>
      </c>
      <c r="Q2978" s="4" t="n">
        <v>3207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달전리 361-3</t>
        </is>
      </c>
      <c r="B2979" s="3" t="inlineStr">
        <is>
          <t>보전관리지역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10000</v>
      </c>
      <c r="G2979" s="4" t="n">
        <v>469</v>
      </c>
      <c r="H2979" s="4" t="n">
        <v>142</v>
      </c>
      <c r="I2979" s="5" t="n">
        <v>70.40000000000001</v>
      </c>
      <c r="J2979" s="5" t="n">
        <v>12.4</v>
      </c>
      <c r="K2979" s="3" t="inlineStr">
        <is>
          <t>nan</t>
        </is>
      </c>
      <c r="L2979" s="6">
        <f>HYPERLINK("https://fin.land.naver.com/articles/2651680736", "매물Link")</f>
        <v/>
      </c>
      <c r="M2979" s="6">
        <f>HYPERLINK("https://map.naver.com/p/search/전의면 달전리 361-3", "지도Link")</f>
        <v/>
      </c>
      <c r="N2979" s="6">
        <f>HYPERLINK("http://www.eum.go.kr/web/ar/lu/luLandDet.jsp?pnu=3611037033103610003&amp;isNoScr=script&amp;mode=search", "토지이음")</f>
        <v/>
      </c>
      <c r="O2979" s="3" t="inlineStr">
        <is>
          <t>최프로</t>
        </is>
      </c>
      <c r="P2979" s="4" t="n">
        <v>1</v>
      </c>
      <c r="Q2979" s="4" t="n">
        <v>469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가로장방</t>
        </is>
      </c>
      <c r="V2979" s="3" t="inlineStr">
        <is>
          <t>세로한면(가)</t>
        </is>
      </c>
    </row>
    <row r="2980">
      <c r="A2980" s="3" t="inlineStr">
        <is>
          <t>전의면 달전리 404-4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168000</v>
      </c>
      <c r="G2980" s="4" t="n">
        <v>3692</v>
      </c>
      <c r="H2980" s="4" t="n">
        <v>1117</v>
      </c>
      <c r="I2980" s="5" t="n">
        <v>150.4</v>
      </c>
      <c r="J2980" s="5" t="n">
        <v>14.3</v>
      </c>
      <c r="K2980" s="3" t="inlineStr">
        <is>
          <t>레이캐슬 인근 2차선 변 계획관리 토지, 근생, 공장 창고, 주택</t>
        </is>
      </c>
      <c r="L2980" s="6">
        <f>HYPERLINK("https://fin.land.naver.com/articles/2654246843", "매물Link")</f>
        <v/>
      </c>
      <c r="M2980" s="6">
        <f>HYPERLINK("https://map.naver.com/p/search/전의면 달전리 404-4", "지도Link")</f>
        <v/>
      </c>
      <c r="N2980" s="6">
        <f>HYPERLINK("http://www.eum.go.kr/web/ar/lu/luLandDet.jsp?pnu=3611037033104040004&amp;isNoScr=script&amp;mode=search",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2315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달전리 406-1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181600</v>
      </c>
      <c r="G2981" s="4" t="n">
        <v>3752</v>
      </c>
      <c r="H2981" s="4" t="n">
        <v>1135</v>
      </c>
      <c r="I2981" s="5" t="n">
        <v>160</v>
      </c>
      <c r="J2981" s="5" t="n">
        <v>13.8</v>
      </c>
      <c r="K2981" s="3" t="inlineStr">
        <is>
          <t>세종시 전의면에 위치한 2차선 도로 접한 토지 매매</t>
        </is>
      </c>
      <c r="L2981" s="6">
        <f>HYPERLINK("https://fin.land.naver.com/articles/2653393004", "매물Link")</f>
        <v/>
      </c>
      <c r="M2981" s="6">
        <f>HYPERLINK("https://map.naver.com/p/search/전의면 달전리 406-1", "지도Link")</f>
        <v/>
      </c>
      <c r="N2981" s="6">
        <f>HYPERLINK("http://www.eum.go.kr/web/ar/lu/luLandDet.jsp?pnu=3611037033104060001&amp;isNoScr=script&amp;mode=search", "토지이음")</f>
        <v/>
      </c>
      <c r="O2981" s="3" t="inlineStr">
        <is>
          <t>대지</t>
        </is>
      </c>
      <c r="P2981" s="4" t="n">
        <v>1</v>
      </c>
      <c r="Q2981" s="4" t="n">
        <v>1000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완경사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달전리 406-1</t>
        </is>
      </c>
      <c r="B2982" s="3" t="inlineStr">
        <is>
          <t>계획관리지역</t>
        </is>
      </c>
      <c r="C2982" s="3" t="inlineStr">
        <is>
          <t>답</t>
        </is>
      </c>
      <c r="D2982" s="3" t="inlineStr">
        <is>
          <t>답</t>
        </is>
      </c>
      <c r="E2982" s="3" t="inlineStr">
        <is>
          <t>매매</t>
        </is>
      </c>
      <c r="F2982" s="4" t="n">
        <v>49000</v>
      </c>
      <c r="G2982" s="4" t="n">
        <v>1000</v>
      </c>
      <c r="H2982" s="4" t="n">
        <v>302</v>
      </c>
      <c r="I2982" s="5" t="n">
        <v>162.3</v>
      </c>
      <c r="J2982" s="5" t="n">
        <v>13.8</v>
      </c>
      <c r="K2982" s="3" t="inlineStr">
        <is>
          <t>nan</t>
        </is>
      </c>
      <c r="L2982" s="6">
        <f>HYPERLINK("https://fin.land.naver.com/articles/2656234434", "매물Link")</f>
        <v/>
      </c>
      <c r="M2982" s="6">
        <f>HYPERLINK("https://map.naver.com/p/search/전의면 달전리 406-1", "지도Link")</f>
        <v/>
      </c>
      <c r="N2982" s="6">
        <f>HYPERLINK("http://www.eum.go.kr/web/ar/lu/luLandDet.jsp?pnu=3611037033104060001&amp;isNoScr=script&amp;mode=search", "토지이음")</f>
        <v/>
      </c>
      <c r="O2982" s="3" t="inlineStr">
        <is>
          <t>그래그</t>
        </is>
      </c>
      <c r="P2982" s="4" t="n">
        <v>1</v>
      </c>
      <c r="Q2982" s="4" t="n">
        <v>1000</v>
      </c>
      <c r="R2982" s="3" t="inlineStr">
        <is>
          <t>지정되지않음</t>
        </is>
      </c>
      <c r="S2982" s="3" t="inlineStr">
        <is>
          <t>답</t>
        </is>
      </c>
      <c r="T2982" s="3" t="inlineStr">
        <is>
          <t>완경사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전의면 달전리 406-10</t>
        </is>
      </c>
      <c r="B2983" s="3" t="inlineStr">
        <is>
          <t>계획관리지역</t>
        </is>
      </c>
      <c r="C2983" s="3" t="inlineStr">
        <is>
          <t>답</t>
        </is>
      </c>
      <c r="D2983" s="3" t="inlineStr">
        <is>
          <t>답</t>
        </is>
      </c>
      <c r="E2983" s="3" t="inlineStr">
        <is>
          <t>매매</t>
        </is>
      </c>
      <c r="F2983" s="4" t="n">
        <v>48500</v>
      </c>
      <c r="G2983" s="4" t="n">
        <v>1000</v>
      </c>
      <c r="H2983" s="4" t="n">
        <v>302</v>
      </c>
      <c r="I2983" s="5" t="n">
        <v>160.6</v>
      </c>
      <c r="J2983" s="5" t="n">
        <v>13.9</v>
      </c>
      <c r="K2983" s="3" t="inlineStr">
        <is>
          <t>전의면 달전리 2차선 접한 계획관리 토지, 근생시설 건축, 하천 옆</t>
        </is>
      </c>
      <c r="L2983" s="6">
        <f>HYPERLINK("https://fin.land.naver.com/articles/2654029601", "매물Link")</f>
        <v/>
      </c>
      <c r="M2983" s="6">
        <f>HYPERLINK("https://map.naver.com/p/search/전의면 달전리 406-10", "지도Link")</f>
        <v/>
      </c>
      <c r="N2983" s="6">
        <f>HYPERLINK("http://www.eum.go.kr/web/ar/lu/luLandDet.jsp?pnu=3611037033104060010&amp;isNoScr=script&amp;mode=search", "토지이음")</f>
        <v/>
      </c>
      <c r="O2983" s="3" t="inlineStr">
        <is>
          <t>스카이</t>
        </is>
      </c>
      <c r="P2983" s="4" t="n">
        <v>1</v>
      </c>
      <c r="Q2983" s="4" t="n">
        <v>1000</v>
      </c>
      <c r="R2983" s="3" t="inlineStr">
        <is>
          <t>지정되지않음</t>
        </is>
      </c>
      <c r="S2983" s="3" t="inlineStr">
        <is>
          <t>답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소로한면</t>
        </is>
      </c>
    </row>
    <row r="2984">
      <c r="A2984" s="3" t="inlineStr">
        <is>
          <t>전의면 달전리 409-3</t>
        </is>
      </c>
      <c r="B2984" s="3" t="inlineStr">
        <is>
          <t>계획관리지역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95000</v>
      </c>
      <c r="G2984" s="4" t="n">
        <v>2859</v>
      </c>
      <c r="H2984" s="4" t="n">
        <v>865</v>
      </c>
      <c r="I2984" s="5" t="n">
        <v>109.8</v>
      </c>
      <c r="J2984" s="5" t="n">
        <v>20.2</v>
      </c>
      <c r="K2984" s="3" t="inlineStr">
        <is>
          <t>2차선 도로 인접한 계획관리 토지매매</t>
        </is>
      </c>
      <c r="L2984" s="6">
        <f>HYPERLINK("https://fin.land.naver.com/articles/2655177205", "매물Link")</f>
        <v/>
      </c>
      <c r="M2984" s="6">
        <f>HYPERLINK("https://map.naver.com/p/search/전의면 달전리 409-3", "지도Link")</f>
        <v/>
      </c>
      <c r="N2984" s="6">
        <f>HYPERLINK("http://www.eum.go.kr/web/ar/lu/luLandDet.jsp?pnu=3611037033104090003&amp;isNoScr=script&amp;mode=search", "토지이음")</f>
        <v/>
      </c>
      <c r="O2984" s="3" t="inlineStr">
        <is>
          <t>에이스</t>
        </is>
      </c>
      <c r="P2984" s="4" t="n">
        <v>1</v>
      </c>
      <c r="Q2984" s="4" t="n">
        <v>2859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부정형</t>
        </is>
      </c>
      <c r="V2984" s="3" t="inlineStr">
        <is>
          <t>세로한면(가)</t>
        </is>
      </c>
    </row>
    <row r="2985">
      <c r="A2985" s="3" t="inlineStr">
        <is>
          <t>전의면 달전리 411-10</t>
        </is>
      </c>
      <c r="B2985" s="3" t="inlineStr">
        <is>
          <t>계획관리지역</t>
        </is>
      </c>
      <c r="C2985" s="3" t="inlineStr">
        <is>
          <t>답</t>
        </is>
      </c>
      <c r="D2985" s="3" t="inlineStr">
        <is>
          <t>전</t>
        </is>
      </c>
      <c r="E2985" s="3" t="inlineStr">
        <is>
          <t>매매</t>
        </is>
      </c>
      <c r="F2985" s="4" t="n">
        <v>22000</v>
      </c>
      <c r="G2985" s="4" t="n">
        <v>662</v>
      </c>
      <c r="H2985" s="4" t="n">
        <v>200</v>
      </c>
      <c r="I2985" s="5" t="n">
        <v>110</v>
      </c>
      <c r="J2985" s="5" t="n">
        <v>22.2</v>
      </c>
      <c r="K2985" s="3" t="inlineStr">
        <is>
          <t>전의면 달전리 2차선변 계획관리 토지, 초급매, 건축 및 투자용</t>
        </is>
      </c>
      <c r="L2985" s="6">
        <f>HYPERLINK("https://fin.land.naver.com/articles/2654028199", "매물Link")</f>
        <v/>
      </c>
      <c r="M2985" s="6">
        <f>HYPERLINK("https://map.naver.com/p/search/전의면 달전리 411-10", "지도Link")</f>
        <v/>
      </c>
      <c r="N2985" s="6">
        <f>HYPERLINK("http://www.eum.go.kr/web/ar/lu/luLandDet.jsp?pnu=3611037033104110010&amp;isNoScr=script&amp;mode=search", "토지이음")</f>
        <v/>
      </c>
      <c r="O2985" s="3" t="inlineStr">
        <is>
          <t>스카이</t>
        </is>
      </c>
      <c r="P2985" s="4" t="n">
        <v>2</v>
      </c>
      <c r="Q2985" s="4" t="n">
        <v>662</v>
      </c>
      <c r="R2985" s="3" t="inlineStr">
        <is>
          <t>지정되지않음</t>
        </is>
      </c>
      <c r="S2985" s="3" t="inlineStr">
        <is>
          <t>답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소로한면</t>
        </is>
      </c>
    </row>
    <row r="2986">
      <c r="A2986" s="3" t="inlineStr">
        <is>
          <t>전의면 달전리 516-1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782</v>
      </c>
      <c r="H2986" s="4" t="n">
        <v>237</v>
      </c>
      <c r="I2986" s="5" t="n">
        <v>59.1</v>
      </c>
      <c r="J2986" s="5" t="n">
        <v>17.3</v>
      </c>
      <c r="K2986" s="3" t="inlineStr">
        <is>
          <t>텃밭 가꾸며 체류형쉼터나 농막 놓고 시냇물 흐르는 곳에서 쉬기 좋아요.</t>
        </is>
      </c>
      <c r="L2986" s="6">
        <f>HYPERLINK("https://fin.land.naver.com/articles/2651108070", "매물Link")</f>
        <v/>
      </c>
      <c r="M2986" s="6">
        <f>HYPERLINK("https://map.naver.com/p/search/전의면 달전리 516-1", "지도Link")</f>
        <v/>
      </c>
      <c r="N2986" s="6">
        <f>HYPERLINK("http://www.eum.go.kr/web/ar/lu/luLandDet.jsp?pnu=3611037033105160001&amp;isNoScr=script&amp;mode=search", "토지이음")</f>
        <v/>
      </c>
      <c r="O2986" s="3" t="inlineStr">
        <is>
          <t>효자</t>
        </is>
      </c>
      <c r="P2986" s="4" t="n">
        <v>1</v>
      </c>
      <c r="Q2986" s="4" t="n">
        <v>782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달전리 61</t>
        </is>
      </c>
      <c r="B2987" s="3" t="inlineStr">
        <is>
          <t>생산관리지역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52000</v>
      </c>
      <c r="G2987" s="4" t="n">
        <v>2860</v>
      </c>
      <c r="H2987" s="4" t="n">
        <v>865</v>
      </c>
      <c r="I2987" s="5" t="n">
        <v>60.1</v>
      </c>
      <c r="J2987" s="5" t="n">
        <v>13.7</v>
      </c>
      <c r="K2987" s="3" t="inlineStr">
        <is>
          <t>nan</t>
        </is>
      </c>
      <c r="L2987" s="6">
        <f>HYPERLINK("https://fin.land.naver.com/articles/2651598626", "매물Link")</f>
        <v/>
      </c>
      <c r="M2987" s="6">
        <f>HYPERLINK("https://map.naver.com/p/search/전의면 달전리 61", "지도Link")</f>
        <v/>
      </c>
      <c r="N2987" s="6">
        <f>HYPERLINK("http://www.eum.go.kr/web/ar/lu/luLandDet.jsp?pnu=3611037033100610000&amp;isNoScr=script&amp;mode=search", "토지이음")</f>
        <v/>
      </c>
      <c r="O2987" s="3" t="inlineStr">
        <is>
          <t>다정현대</t>
        </is>
      </c>
      <c r="P2987" s="4" t="n">
        <v>1</v>
      </c>
      <c r="Q2987" s="4" t="n">
        <v>516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달전리 75</t>
        </is>
      </c>
      <c r="B2988" s="3" t="inlineStr">
        <is>
          <t>생산관리지역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14535</v>
      </c>
      <c r="G2988" s="4" t="n">
        <v>1067</v>
      </c>
      <c r="H2988" s="4" t="n">
        <v>323</v>
      </c>
      <c r="I2988" s="5" t="n">
        <v>45</v>
      </c>
      <c r="J2988" s="5" t="n">
        <v>11.3</v>
      </c>
      <c r="K2988" s="3" t="inlineStr">
        <is>
          <t>체류형쉼터 가능한 농지. 평당45만원</t>
        </is>
      </c>
      <c r="L2988" s="6">
        <f>HYPERLINK("https://fin.land.naver.com/articles/2652114202", "매물Link")</f>
        <v/>
      </c>
      <c r="M2988" s="6">
        <f>HYPERLINK("https://map.naver.com/p/search/전의면 달전리 75", "지도Link")</f>
        <v/>
      </c>
      <c r="N2988" s="6">
        <f>HYPERLINK("http://www.eum.go.kr/web/ar/lu/luLandDet.jsp?pnu=3611037033100750000&amp;isNoScr=script&amp;mode=search", "토지이음")</f>
        <v/>
      </c>
      <c r="O2988" s="3" t="inlineStr">
        <is>
          <t>미스터홈즈강남지사</t>
        </is>
      </c>
      <c r="P2988" s="4" t="n">
        <v>1</v>
      </c>
      <c r="Q2988" s="4" t="n">
        <v>1114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부정형</t>
        </is>
      </c>
      <c r="V2988" s="3" t="inlineStr">
        <is>
          <t>세로한면(불)</t>
        </is>
      </c>
    </row>
    <row r="2989">
      <c r="A2989" s="3" t="inlineStr">
        <is>
          <t>전의면 달전리 산105</t>
        </is>
      </c>
      <c r="B2989" s="3" t="inlineStr">
        <is>
          <t>농림지역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96000</v>
      </c>
      <c r="G2989" s="4" t="n">
        <v>50876</v>
      </c>
      <c r="H2989" s="4" t="n">
        <v>15390</v>
      </c>
      <c r="I2989" s="5" t="n">
        <v>6.2</v>
      </c>
      <c r="J2989" s="5" t="n">
        <v>0.9</v>
      </c>
      <c r="K2989" s="3" t="inlineStr">
        <is>
          <t>nan</t>
        </is>
      </c>
      <c r="L2989" s="6">
        <f>HYPERLINK("https://fin.land.naver.com/articles/2653785975", "매물Link")</f>
        <v/>
      </c>
      <c r="M2989" s="6">
        <f>HYPERLINK("https://map.naver.com/p/search/전의면 달전리 산105", "지도Link")</f>
        <v/>
      </c>
      <c r="N2989" s="6">
        <f>HYPERLINK("http://www.eum.go.kr/web/ar/lu/luLandDet.jsp?pnu=3611037033201050000&amp;isNoScr=script&amp;mode=search", "토지이음")</f>
        <v/>
      </c>
      <c r="O2989" s="3" t="inlineStr">
        <is>
          <t>바른</t>
        </is>
      </c>
      <c r="P2989" s="4" t="n">
        <v>1</v>
      </c>
      <c r="Q2989" s="4" t="n">
        <v>50876</v>
      </c>
      <c r="R2989" s="3" t="inlineStr">
        <is>
          <t>지정되지않음</t>
        </is>
      </c>
      <c r="S2989" s="3" t="inlineStr">
        <is>
          <t>자연림</t>
        </is>
      </c>
      <c r="T2989" s="3" t="inlineStr">
        <is>
          <t>고지</t>
        </is>
      </c>
      <c r="U2989" s="3" t="inlineStr">
        <is>
          <t>부정형</t>
        </is>
      </c>
      <c r="V2989" s="3" t="inlineStr">
        <is>
          <t>세로한면(불)</t>
        </is>
      </c>
    </row>
    <row r="2990">
      <c r="A2990" s="3" t="inlineStr">
        <is>
          <t>전의면 달전리 산105</t>
        </is>
      </c>
      <c r="B2990" s="3" t="inlineStr">
        <is>
          <t>농림지역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96000</v>
      </c>
      <c r="G2990" s="4" t="n">
        <v>50876</v>
      </c>
      <c r="H2990" s="4" t="n">
        <v>15390</v>
      </c>
      <c r="I2990" s="5" t="n">
        <v>6.2</v>
      </c>
      <c r="J2990" s="5" t="n">
        <v>0.9</v>
      </c>
      <c r="K2990" s="3" t="inlineStr">
        <is>
          <t>nan</t>
        </is>
      </c>
      <c r="L2990" s="6">
        <f>HYPERLINK("https://fin.land.naver.com/articles/2651533289", "매물Link")</f>
        <v/>
      </c>
      <c r="M2990" s="6">
        <f>HYPERLINK("https://map.naver.com/p/search/전의면 달전리 산105", "지도Link")</f>
        <v/>
      </c>
      <c r="N2990" s="6">
        <f>HYPERLINK("http://www.eum.go.kr/web/ar/lu/luLandDet.jsp?pnu=3611037033201050000&amp;isNoScr=script&amp;mode=search", "토지이음")</f>
        <v/>
      </c>
      <c r="O2990" s="3" t="inlineStr">
        <is>
          <t>바른</t>
        </is>
      </c>
      <c r="P2990" s="4" t="n">
        <v>1</v>
      </c>
      <c r="Q2990" s="4" t="n">
        <v>50876</v>
      </c>
      <c r="R2990" s="3" t="inlineStr">
        <is>
          <t>지정되지않음</t>
        </is>
      </c>
      <c r="S2990" s="3" t="inlineStr">
        <is>
          <t>자연림</t>
        </is>
      </c>
      <c r="T2990" s="3" t="inlineStr">
        <is>
          <t>고지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달전리 산109-2</t>
        </is>
      </c>
      <c r="B2991" s="3" t="inlineStr">
        <is>
          <t>농림지역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55300</v>
      </c>
      <c r="G2991" s="4" t="n">
        <v>91382</v>
      </c>
      <c r="H2991" s="4" t="n">
        <v>27643</v>
      </c>
      <c r="I2991" s="5" t="n">
        <v>2</v>
      </c>
      <c r="J2991" s="5" t="n">
        <v>0.9</v>
      </c>
      <c r="K2991" s="3" t="inlineStr">
        <is>
          <t>nan</t>
        </is>
      </c>
      <c r="L2991" s="6">
        <f>HYPERLINK("https://fin.land.naver.com/articles/2653083489", "매물Link")</f>
        <v/>
      </c>
      <c r="M2991" s="6">
        <f>HYPERLINK("https://map.naver.com/p/search/전의면 달전리 산109-2", "지도Link")</f>
        <v/>
      </c>
      <c r="N2991" s="6">
        <f>HYPERLINK("http://www.eum.go.kr/web/ar/lu/luLandDet.jsp?pnu=3611037033201090002&amp;isNoScr=script&amp;mode=search", "토지이음")</f>
        <v/>
      </c>
      <c r="O2991" s="3" t="inlineStr">
        <is>
          <t>돈방석</t>
        </is>
      </c>
      <c r="P2991" s="4" t="n">
        <v>1</v>
      </c>
      <c r="Q2991" s="4" t="n">
        <v>91382</v>
      </c>
      <c r="R2991" s="3" t="inlineStr">
        <is>
          <t>지정되지않음</t>
        </is>
      </c>
      <c r="S2991" s="3" t="inlineStr">
        <is>
          <t>자연림</t>
        </is>
      </c>
      <c r="T2991" s="3" t="inlineStr">
        <is>
          <t>고지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달전리 산110</t>
        </is>
      </c>
      <c r="B2992" s="3" t="inlineStr">
        <is>
          <t>농림지역</t>
        </is>
      </c>
      <c r="C2992" s="3" t="inlineStr">
        <is>
          <t>임야</t>
        </is>
      </c>
      <c r="D2992" s="3" t="inlineStr">
        <is>
          <t>임야</t>
        </is>
      </c>
      <c r="E2992" s="3" t="inlineStr">
        <is>
          <t>매매</t>
        </is>
      </c>
      <c r="F2992" s="4" t="n">
        <v>402309</v>
      </c>
      <c r="G2992" s="4" t="n">
        <v>221659</v>
      </c>
      <c r="H2992" s="4" t="n">
        <v>67052</v>
      </c>
      <c r="I2992" s="5" t="n">
        <v>6</v>
      </c>
      <c r="J2992" s="5" t="n">
        <v>0.9</v>
      </c>
      <c r="K2992" s="3" t="inlineStr">
        <is>
          <t>세종미래일반산업단지부근.임야.남향산지.</t>
        </is>
      </c>
      <c r="L2992" s="6">
        <f>HYPERLINK("https://fin.land.naver.com/articles/2656469724", "매물Link")</f>
        <v/>
      </c>
      <c r="M2992" s="6">
        <f>HYPERLINK("https://map.naver.com/p/search/전의면 달전리 산110", "지도Link")</f>
        <v/>
      </c>
      <c r="N2992" s="6">
        <f>HYPERLINK("http://www.eum.go.kr/web/ar/lu/luLandDet.jsp?pnu=3611037033201100000&amp;isNoScr=script&amp;mode=search", "토지이음")</f>
        <v/>
      </c>
      <c r="O2992" s="3" t="inlineStr">
        <is>
          <t>와와</t>
        </is>
      </c>
      <c r="P2992" s="4" t="n">
        <v>1</v>
      </c>
      <c r="Q2992" s="4" t="n">
        <v>74678</v>
      </c>
      <c r="R2992" s="3" t="inlineStr">
        <is>
          <t>지정되지않음</t>
        </is>
      </c>
      <c r="S2992" s="3" t="inlineStr">
        <is>
          <t>자연림</t>
        </is>
      </c>
      <c r="T2992" s="3" t="inlineStr">
        <is>
          <t>고지</t>
        </is>
      </c>
      <c r="U2992" s="3" t="inlineStr">
        <is>
          <t>부정형</t>
        </is>
      </c>
      <c r="V2992" s="3" t="inlineStr">
        <is>
          <t>세로한면(불)</t>
        </is>
      </c>
    </row>
    <row r="2993">
      <c r="A2993" s="3" t="inlineStr">
        <is>
          <t>전의면 달전리 산26</t>
        </is>
      </c>
      <c r="B2993" s="3" t="inlineStr">
        <is>
          <t>보전관리지역</t>
        </is>
      </c>
      <c r="C2993" s="3" t="inlineStr">
        <is>
          <t>임야</t>
        </is>
      </c>
      <c r="D2993" s="3" t="inlineStr">
        <is>
          <t>임야</t>
        </is>
      </c>
      <c r="E2993" s="3" t="inlineStr">
        <is>
          <t>매매</t>
        </is>
      </c>
      <c r="F2993" s="4" t="n">
        <v>240000</v>
      </c>
      <c r="G2993" s="4" t="n">
        <v>237976</v>
      </c>
      <c r="H2993" s="4" t="n">
        <v>71988</v>
      </c>
      <c r="I2993" s="5" t="n">
        <v>3.3</v>
      </c>
      <c r="J2993" s="5" t="n">
        <v>2.3</v>
      </c>
      <c r="K2993" s="3" t="inlineStr">
        <is>
          <t>포장도로접, 입구 보전관리지역에 건축가능</t>
        </is>
      </c>
      <c r="L2993" s="6">
        <f>HYPERLINK("https://fin.land.naver.com/articles/2652931235", "매물Link")</f>
        <v/>
      </c>
      <c r="M2993" s="6">
        <f>HYPERLINK("https://map.naver.com/p/search/전의면 달전리 산26", "지도Link")</f>
        <v/>
      </c>
      <c r="N2993" s="6">
        <f>HYPERLINK("http://www.eum.go.kr/web/ar/lu/luLandDet.jsp?pnu=3611037033200260000&amp;isNoScr=script&amp;mode=search",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6145</v>
      </c>
      <c r="R2993" s="3" t="inlineStr">
        <is>
          <t>농림지역</t>
        </is>
      </c>
      <c r="S2993" s="3" t="inlineStr">
        <is>
          <t>자연림</t>
        </is>
      </c>
      <c r="T2993" s="3" t="inlineStr">
        <is>
          <t>완경사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전의면 달전리 산30</t>
        </is>
      </c>
      <c r="B2994" s="3" t="inlineStr">
        <is>
          <t>농림지역</t>
        </is>
      </c>
      <c r="C2994" s="3" t="inlineStr">
        <is>
          <t>임야</t>
        </is>
      </c>
      <c r="D2994" s="3" t="inlineStr">
        <is>
          <t>임야</t>
        </is>
      </c>
      <c r="E2994" s="3" t="inlineStr">
        <is>
          <t>매매</t>
        </is>
      </c>
      <c r="F2994" s="4" t="n">
        <v>50000</v>
      </c>
      <c r="G2994" s="4" t="n">
        <v>9620</v>
      </c>
      <c r="H2994" s="4" t="n">
        <v>2910</v>
      </c>
      <c r="I2994" s="5" t="n">
        <v>17.2</v>
      </c>
      <c r="J2994" s="5" t="n">
        <v>1</v>
      </c>
      <c r="K2994" s="3" t="inlineStr">
        <is>
          <t>임업용산지로 임업후계자, 묘지추천 가격조절가능</t>
        </is>
      </c>
      <c r="L2994" s="6">
        <f>HYPERLINK("https://fin.land.naver.com/articles/2653126475", "매물Link")</f>
        <v/>
      </c>
      <c r="M2994" s="6">
        <f>HYPERLINK("https://map.naver.com/p/search/전의면 달전리 산30", "지도Link")</f>
        <v/>
      </c>
      <c r="N2994" s="6">
        <f>HYPERLINK("http://www.eum.go.kr/web/ar/lu/luLandDet.jsp?pnu=3611037033200300000&amp;isNoScr=script&amp;mode=search", "토지이음")</f>
        <v/>
      </c>
      <c r="O2994" s="3" t="inlineStr">
        <is>
          <t>킹</t>
        </is>
      </c>
      <c r="P2994" s="4" t="n">
        <v>1</v>
      </c>
      <c r="Q2994" s="4" t="n">
        <v>9620</v>
      </c>
      <c r="R2994" s="3" t="inlineStr">
        <is>
          <t>보전관리지역</t>
        </is>
      </c>
      <c r="S2994" s="3" t="inlineStr">
        <is>
          <t>자연림</t>
        </is>
      </c>
      <c r="T2994" s="3" t="inlineStr">
        <is>
          <t>급경사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동교리 111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70000</v>
      </c>
      <c r="G2995" s="4" t="n">
        <v>2046</v>
      </c>
      <c r="H2995" s="4" t="n">
        <v>619</v>
      </c>
      <c r="I2995" s="5" t="n">
        <v>113.1</v>
      </c>
      <c r="J2995" s="5" t="n">
        <v>27.7</v>
      </c>
      <c r="K2995" s="3" t="inlineStr">
        <is>
          <t>계획관리지역 토지 매매,</t>
        </is>
      </c>
      <c r="L2995" s="6">
        <f>HYPERLINK("https://fin.land.naver.com/articles/2656660918", "매물Link")</f>
        <v/>
      </c>
      <c r="M2995" s="6">
        <f>HYPERLINK("https://map.naver.com/p/search/전의면 동교리 111", "지도Link")</f>
        <v/>
      </c>
      <c r="N2995" s="6">
        <f>HYPERLINK("http://www.eum.go.kr/web/ar/lu/luLandDet.jsp?pnu=3611037022101110000&amp;isNoScr=script&amp;mode=search", "토지이음")</f>
        <v/>
      </c>
      <c r="O2995" s="3" t="inlineStr">
        <is>
          <t>세종공감</t>
        </is>
      </c>
      <c r="P2995" s="4" t="n">
        <v>1</v>
      </c>
      <c r="Q2995" s="4" t="n">
        <v>2046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동교리 124</t>
        </is>
      </c>
      <c r="B2996" s="3" t="inlineStr">
        <is>
          <t>자연녹지지역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108500</v>
      </c>
      <c r="G2996" s="4" t="n">
        <v>3077</v>
      </c>
      <c r="H2996" s="4" t="n">
        <v>931</v>
      </c>
      <c r="I2996" s="5" t="n">
        <v>116.5</v>
      </c>
      <c r="J2996" s="5" t="n">
        <v>56</v>
      </c>
      <c r="K2996" s="3" t="inlineStr">
        <is>
          <t>토지 매매 동교리 전의산단 배후지역 개발호재 많은곳</t>
        </is>
      </c>
      <c r="L2996" s="6">
        <f>HYPERLINK("https://fin.land.naver.com/articles/2652406475", "매물Link")</f>
        <v/>
      </c>
      <c r="M2996" s="6">
        <f>HYPERLINK("https://map.naver.com/p/search/전의면 동교리 124", "지도Link")</f>
        <v/>
      </c>
      <c r="N2996" s="6">
        <f>HYPERLINK("http://www.eum.go.kr/web/ar/lu/luLandDet.jsp?pnu=3611037022101240000&amp;isNoScr=script&amp;mode=search", "토지이음")</f>
        <v/>
      </c>
      <c r="O2996" s="3" t="inlineStr">
        <is>
          <t>THE행복</t>
        </is>
      </c>
      <c r="P2996" s="4" t="n">
        <v>1</v>
      </c>
      <c r="Q2996" s="4" t="n">
        <v>1440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세로한면(가)</t>
        </is>
      </c>
    </row>
    <row r="2997">
      <c r="A2997" s="3" t="inlineStr">
        <is>
          <t>전의면 동교리 124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대</t>
        </is>
      </c>
      <c r="E2997" s="3" t="inlineStr">
        <is>
          <t>매매</t>
        </is>
      </c>
      <c r="F2997" s="4" t="n">
        <v>108500</v>
      </c>
      <c r="G2997" s="4" t="n">
        <v>3261</v>
      </c>
      <c r="H2997" s="4" t="n">
        <v>986</v>
      </c>
      <c r="I2997" s="5" t="n">
        <v>110</v>
      </c>
      <c r="J2997" s="5" t="n">
        <v>56</v>
      </c>
      <c r="K2997" s="3" t="inlineStr">
        <is>
          <t>전의면 동교리 자연녹지 토지, 전의역 및 면소재지 인근</t>
        </is>
      </c>
      <c r="L2997" s="6">
        <f>HYPERLINK("https://fin.land.naver.com/articles/2654022408", "매물Link")</f>
        <v/>
      </c>
      <c r="M2997" s="6">
        <f>HYPERLINK("https://map.naver.com/p/search/전의면 동교리 124", "지도Link")</f>
        <v/>
      </c>
      <c r="N2997" s="6">
        <f>HYPERLINK("http://www.eum.go.kr/web/ar/lu/luLandDet.jsp?pnu=3611037022101240000&amp;isNoScr=script&amp;mode=search", "토지이음")</f>
        <v/>
      </c>
      <c r="O2997" s="3" t="inlineStr">
        <is>
          <t>스카이</t>
        </is>
      </c>
      <c r="P2997" s="4" t="n">
        <v>1</v>
      </c>
      <c r="Q2997" s="4" t="n">
        <v>1440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세로한면(가)</t>
        </is>
      </c>
    </row>
    <row r="2998">
      <c r="A2998" s="3" t="inlineStr">
        <is>
          <t>전의면 동교리 209-8</t>
        </is>
      </c>
      <c r="B2998" s="3" t="inlineStr">
        <is>
          <t>제1종일반주거지역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154800</v>
      </c>
      <c r="G2998" s="4" t="n">
        <v>2327</v>
      </c>
      <c r="H2998" s="4" t="n">
        <v>704</v>
      </c>
      <c r="I2998" s="5" t="n">
        <v>219.9</v>
      </c>
      <c r="J2998" s="5" t="n">
        <v>85</v>
      </c>
      <c r="K2998" s="3" t="inlineStr">
        <is>
          <t>전의 1,2 산업단지, 스마트그린일반산압단지 근거리에 위치</t>
        </is>
      </c>
      <c r="L2998" s="6">
        <f>HYPERLINK("https://fin.land.naver.com/articles/2654646682", "매물Link")</f>
        <v/>
      </c>
      <c r="M2998" s="6">
        <f>HYPERLINK("https://map.naver.com/p/search/전의면 동교리 209-8", "지도Link")</f>
        <v/>
      </c>
      <c r="N2998" s="6">
        <f>HYPERLINK("http://www.eum.go.kr/web/ar/lu/luLandDet.jsp?pnu=3611037022102090008&amp;isNoScr=script&amp;mode=search", "토지이음")</f>
        <v/>
      </c>
      <c r="O2998" s="3" t="inlineStr">
        <is>
          <t>신태양</t>
        </is>
      </c>
      <c r="P2998" s="4" t="n">
        <v>1</v>
      </c>
      <c r="Q2998" s="4" t="n">
        <v>330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세로한면(가)</t>
        </is>
      </c>
    </row>
    <row r="2999">
      <c r="A2999" s="3" t="inlineStr">
        <is>
          <t>전의면 동교리 213-8</t>
        </is>
      </c>
      <c r="B2999" s="3" t="inlineStr">
        <is>
          <t>제1종일반주거지역</t>
        </is>
      </c>
      <c r="C2999" s="3" t="inlineStr">
        <is>
          <t>전</t>
        </is>
      </c>
      <c r="D2999" s="3" t="inlineStr">
        <is>
          <t>전</t>
        </is>
      </c>
      <c r="E2999" s="3" t="inlineStr">
        <is>
          <t>매매</t>
        </is>
      </c>
      <c r="F2999" s="4" t="n">
        <v>189000</v>
      </c>
      <c r="G2999" s="4" t="n">
        <v>1643</v>
      </c>
      <c r="H2999" s="4" t="n">
        <v>497</v>
      </c>
      <c r="I2999" s="5" t="n">
        <v>380.3</v>
      </c>
      <c r="J2999" s="5" t="n">
        <v>57.8</v>
      </c>
      <c r="K2999" s="3" t="inlineStr">
        <is>
          <t>nan</t>
        </is>
      </c>
      <c r="L2999" s="6">
        <f>HYPERLINK("https://fin.land.naver.com/articles/2656204785", "매물Link")</f>
        <v/>
      </c>
      <c r="M2999" s="6">
        <f>HYPERLINK("https://map.naver.com/p/search/전의면 동교리 213-8", "지도Link")</f>
        <v/>
      </c>
      <c r="N2999" s="6">
        <f>HYPERLINK("http://www.eum.go.kr/web/ar/lu/luLandDet.jsp?pnu=3611037022102130008&amp;isNoScr=script&amp;mode=search", "토지이음")</f>
        <v/>
      </c>
      <c r="O2999" s="3" t="inlineStr">
        <is>
          <t>나침반</t>
        </is>
      </c>
      <c r="P2999" s="4" t="n">
        <v>1</v>
      </c>
      <c r="Q2999" s="4" t="n">
        <v>848.2</v>
      </c>
      <c r="R2999" s="3" t="inlineStr">
        <is>
          <t>지정되지않음</t>
        </is>
      </c>
      <c r="S2999" s="3" t="inlineStr">
        <is>
          <t>전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소로한면</t>
        </is>
      </c>
    </row>
    <row r="3000">
      <c r="A3000" s="3" t="inlineStr">
        <is>
          <t>전의면 동교리 221-19</t>
        </is>
      </c>
      <c r="B3000" s="3" t="inlineStr">
        <is>
          <t>자연녹지지역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28500</v>
      </c>
      <c r="G3000" s="4" t="n">
        <v>317</v>
      </c>
      <c r="H3000" s="4" t="n">
        <v>96</v>
      </c>
      <c r="I3000" s="5" t="n">
        <v>296.9</v>
      </c>
      <c r="J3000" s="5" t="n">
        <v>77.59999999999999</v>
      </c>
      <c r="K3000" s="3" t="inlineStr">
        <is>
          <t>전의역 도보 10분, 주변 산단 접근성 좋은 토지. 예쁜 주택지</t>
        </is>
      </c>
      <c r="L3000" s="6">
        <f>HYPERLINK("https://fin.land.naver.com/articles/2651150452", "매물Link")</f>
        <v/>
      </c>
      <c r="M3000" s="6">
        <f>HYPERLINK("https://map.naver.com/p/search/전의면 동교리 221-19", "지도Link")</f>
        <v/>
      </c>
      <c r="N3000" s="6">
        <f>HYPERLINK("http://www.eum.go.kr/web/ar/lu/luLandDet.jsp?pnu=3611037022102210019&amp;isNoScr=script&amp;mode=search", "토지이음")</f>
        <v/>
      </c>
      <c r="O3000" s="3" t="inlineStr">
        <is>
          <t>미스터홈즈강남지사</t>
        </is>
      </c>
      <c r="P3000" s="4" t="n">
        <v>1</v>
      </c>
      <c r="Q3000" s="4" t="n">
        <v>271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세로한면(가)</t>
        </is>
      </c>
    </row>
    <row r="3001">
      <c r="A3001" s="3" t="inlineStr">
        <is>
          <t>전의면 동교리 224</t>
        </is>
      </c>
      <c r="B3001" s="3" t="inlineStr">
        <is>
          <t>자연녹지지역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42500</v>
      </c>
      <c r="G3001" s="4" t="n">
        <v>519</v>
      </c>
      <c r="H3001" s="4" t="n">
        <v>157</v>
      </c>
      <c r="I3001" s="5" t="n">
        <v>270.7</v>
      </c>
      <c r="J3001" s="5" t="n">
        <v>56.6</v>
      </c>
      <c r="K3001" s="3" t="inlineStr">
        <is>
          <t>급매 2차선변 근생허가득</t>
        </is>
      </c>
      <c r="L3001" s="6">
        <f>HYPERLINK("https://fin.land.naver.com/articles/2656223671", "매물Link")</f>
        <v/>
      </c>
      <c r="M3001" s="6">
        <f>HYPERLINK("https://map.naver.com/p/search/전의면 동교리 224", "지도Link")</f>
        <v/>
      </c>
      <c r="N3001" s="6">
        <f>HYPERLINK("http://www.eum.go.kr/web/ar/lu/luLandDet.jsp?pnu=3611037022102240000&amp;isNoScr=script&amp;mode=search", "토지이음")</f>
        <v/>
      </c>
      <c r="O3001" s="3" t="inlineStr">
        <is>
          <t>북세종</t>
        </is>
      </c>
      <c r="P3001" s="4" t="n">
        <v>1</v>
      </c>
      <c r="Q3001" s="4" t="n">
        <v>519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중로한면</t>
        </is>
      </c>
    </row>
    <row r="3002">
      <c r="A3002" s="3" t="inlineStr">
        <is>
          <t>전의면 동교리 24</t>
        </is>
      </c>
      <c r="B3002" s="3" t="inlineStr">
        <is>
          <t>계획관리지역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249000</v>
      </c>
      <c r="G3002" s="4" t="n">
        <v>3229</v>
      </c>
      <c r="H3002" s="4" t="n">
        <v>977</v>
      </c>
      <c r="I3002" s="5" t="n">
        <v>254.9</v>
      </c>
      <c r="J3002" s="5" t="n">
        <v>39.9</v>
      </c>
      <c r="K3002" s="3" t="inlineStr">
        <is>
          <t>2차선 도로에 접한 계획관리 토지</t>
        </is>
      </c>
      <c r="L3002" s="6">
        <f>HYPERLINK("https://fin.land.naver.com/articles/2650856637", "매물Link")</f>
        <v/>
      </c>
      <c r="M3002" s="6">
        <f>HYPERLINK("https://map.naver.com/p/search/전의면 동교리 24", "지도Link")</f>
        <v/>
      </c>
      <c r="N3002" s="6">
        <f>HYPERLINK("http://www.eum.go.kr/web/ar/lu/luLandDet.jsp?pnu=3611037022100240000&amp;isNoScr=script&amp;mode=search", "토지이음")</f>
        <v/>
      </c>
      <c r="O3002" s="3" t="inlineStr">
        <is>
          <t>세종대박</t>
        </is>
      </c>
      <c r="P3002" s="4" t="n">
        <v>1</v>
      </c>
      <c r="Q3002" s="4" t="n">
        <v>2509</v>
      </c>
      <c r="R3002" s="3" t="inlineStr">
        <is>
          <t>지정되지않음</t>
        </is>
      </c>
      <c r="S3002" s="3" t="inlineStr">
        <is>
          <t>전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세로한면(불)</t>
        </is>
      </c>
    </row>
    <row r="3003">
      <c r="A3003" s="3" t="inlineStr">
        <is>
          <t>전의면 동교리 24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249250</v>
      </c>
      <c r="G3003" s="4" t="n">
        <v>3229</v>
      </c>
      <c r="H3003" s="4" t="n">
        <v>977</v>
      </c>
      <c r="I3003" s="5" t="n">
        <v>255.1</v>
      </c>
      <c r="J3003" s="5" t="n">
        <v>39.9</v>
      </c>
      <c r="K3003" s="3" t="inlineStr">
        <is>
          <t>nan</t>
        </is>
      </c>
      <c r="L3003" s="6">
        <f>HYPERLINK("https://fin.land.naver.com/articles/2650867906", "매물Link")</f>
        <v/>
      </c>
      <c r="M3003" s="6">
        <f>HYPERLINK("https://map.naver.com/p/search/전의면 동교리 24", "지도Link")</f>
        <v/>
      </c>
      <c r="N3003" s="6">
        <f>HYPERLINK("http://www.eum.go.kr/web/ar/lu/luLandDet.jsp?pnu=3611037022100240000&amp;isNoScr=script&amp;mode=search", "토지이음")</f>
        <v/>
      </c>
      <c r="O3003" s="3" t="inlineStr">
        <is>
          <t>신하나로</t>
        </is>
      </c>
      <c r="P3003" s="4" t="n">
        <v>1</v>
      </c>
      <c r="Q3003" s="4" t="n">
        <v>2509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세로한면(불)</t>
        </is>
      </c>
    </row>
    <row r="3004">
      <c r="A3004" s="3" t="inlineStr">
        <is>
          <t>전의면 동교리 24</t>
        </is>
      </c>
      <c r="B3004" s="3" t="inlineStr">
        <is>
          <t>계획관리지역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249000</v>
      </c>
      <c r="G3004" s="4" t="n">
        <v>3229</v>
      </c>
      <c r="H3004" s="4" t="n">
        <v>977</v>
      </c>
      <c r="I3004" s="5" t="n">
        <v>254.9</v>
      </c>
      <c r="J3004" s="5" t="n">
        <v>39.9</v>
      </c>
      <c r="K3004" s="3" t="inlineStr">
        <is>
          <t>nan</t>
        </is>
      </c>
      <c r="L3004" s="6">
        <f>HYPERLINK("https://fin.land.naver.com/articles/2655984099", "매물Link")</f>
        <v/>
      </c>
      <c r="M3004" s="6">
        <f>HYPERLINK("https://map.naver.com/p/search/전의면 동교리 24", "지도Link")</f>
        <v/>
      </c>
      <c r="N3004" s="6">
        <f>HYPERLINK("http://www.eum.go.kr/web/ar/lu/luLandDet.jsp?pnu=3611037022100240000&amp;isNoScr=script&amp;mode=search", "토지이음")</f>
        <v/>
      </c>
      <c r="O3004" s="3" t="inlineStr">
        <is>
          <t>성훈</t>
        </is>
      </c>
      <c r="P3004" s="4" t="n">
        <v>1</v>
      </c>
      <c r="Q3004" s="4" t="n">
        <v>2509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세로한면(불)</t>
        </is>
      </c>
    </row>
    <row r="3005">
      <c r="A3005" s="3" t="inlineStr">
        <is>
          <t>전의면 동교리 51</t>
        </is>
      </c>
      <c r="B3005" s="3" t="inlineStr">
        <is>
          <t>계획관리지역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67200</v>
      </c>
      <c r="G3005" s="4" t="n">
        <v>1481</v>
      </c>
      <c r="H3005" s="4" t="n">
        <v>448</v>
      </c>
      <c r="I3005" s="5" t="n">
        <v>150</v>
      </c>
      <c r="J3005" s="5" t="n">
        <v>22.9</v>
      </c>
      <c r="K3005" s="3" t="inlineStr">
        <is>
          <t>계획관리 토지매매</t>
        </is>
      </c>
      <c r="L3005" s="6">
        <f>HYPERLINK("https://fin.land.naver.com/articles/2655085854", "매물Link")</f>
        <v/>
      </c>
      <c r="M3005" s="6">
        <f>HYPERLINK("https://map.naver.com/p/search/전의면 동교리 51", "지도Link")</f>
        <v/>
      </c>
      <c r="N3005" s="6">
        <f>HYPERLINK("http://www.eum.go.kr/web/ar/lu/luLandDet.jsp?pnu=3611037022100510000&amp;isNoScr=script&amp;mode=search", "토지이음")</f>
        <v/>
      </c>
      <c r="O3005" s="3" t="inlineStr">
        <is>
          <t>세종대박</t>
        </is>
      </c>
      <c r="P3005" s="4" t="n">
        <v>2</v>
      </c>
      <c r="Q3005" s="4" t="n">
        <v>1481</v>
      </c>
      <c r="R3005" s="3" t="inlineStr">
        <is>
          <t>지정되지않음</t>
        </is>
      </c>
      <c r="S3005" s="3" t="inlineStr">
        <is>
          <t>전</t>
        </is>
      </c>
      <c r="T3005" s="3" t="inlineStr">
        <is>
          <t>급경사</t>
        </is>
      </c>
      <c r="U3005" s="3" t="inlineStr">
        <is>
          <t>부정형</t>
        </is>
      </c>
      <c r="V3005" s="3" t="inlineStr">
        <is>
          <t>세로한면(가)</t>
        </is>
      </c>
    </row>
    <row r="3006">
      <c r="A3006" s="3" t="inlineStr">
        <is>
          <t>전의면 동교리 60</t>
        </is>
      </c>
      <c r="B3006" s="3" t="inlineStr">
        <is>
          <t>계획관리지역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28100</v>
      </c>
      <c r="G3006" s="4" t="n">
        <v>929</v>
      </c>
      <c r="H3006" s="4" t="n">
        <v>281</v>
      </c>
      <c r="I3006" s="5" t="n">
        <v>100</v>
      </c>
      <c r="J3006" s="5" t="n">
        <v>61.2</v>
      </c>
      <c r="K3006" s="3" t="inlineStr">
        <is>
          <t>급매. 전의면 동교리 주택</t>
        </is>
      </c>
      <c r="L3006" s="6">
        <f>HYPERLINK("https://fin.land.naver.com/articles/2654387610", "매물Link")</f>
        <v/>
      </c>
      <c r="M3006" s="6">
        <f>HYPERLINK("https://map.naver.com/p/search/전의면 동교리 60", "지도Link")</f>
        <v/>
      </c>
      <c r="N3006" s="6">
        <f>HYPERLINK("http://www.eum.go.kr/web/ar/lu/luLandDet.jsp?pnu=3611037022100600000&amp;isNoScr=script&amp;mode=search", "토지이음")</f>
        <v/>
      </c>
      <c r="O3006" s="3" t="inlineStr">
        <is>
          <t>강아지풀</t>
        </is>
      </c>
      <c r="P3006" s="4" t="n">
        <v>1</v>
      </c>
      <c r="Q3006" s="4" t="n">
        <v>476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세로한면(가)</t>
        </is>
      </c>
    </row>
    <row r="3007">
      <c r="A3007" s="3" t="inlineStr">
        <is>
          <t>전의면 동교리 64-12</t>
        </is>
      </c>
      <c r="B3007" s="3" t="inlineStr">
        <is>
          <t>계획관리지역</t>
        </is>
      </c>
      <c r="C3007" s="3" t="inlineStr">
        <is>
          <t>전</t>
        </is>
      </c>
      <c r="D3007" s="3" t="inlineStr">
        <is>
          <t>전</t>
        </is>
      </c>
      <c r="E3007" s="3" t="inlineStr">
        <is>
          <t>매매</t>
        </is>
      </c>
      <c r="F3007" s="4" t="n">
        <v>62000</v>
      </c>
      <c r="G3007" s="4" t="n">
        <v>1371</v>
      </c>
      <c r="H3007" s="4" t="n">
        <v>415</v>
      </c>
      <c r="I3007" s="5" t="n">
        <v>149.4</v>
      </c>
      <c r="J3007" s="5" t="n">
        <v>27.5</v>
      </c>
      <c r="K3007" s="3" t="inlineStr">
        <is>
          <t>전의면 동교리 교차로 옆 계획관리 토지, 근생 및 창고 건축, 이동편리</t>
        </is>
      </c>
      <c r="L3007" s="6">
        <f>HYPERLINK("https://fin.land.naver.com/articles/2654029369", "매물Link")</f>
        <v/>
      </c>
      <c r="M3007" s="6">
        <f>HYPERLINK("https://map.naver.com/p/search/전의면 동교리 64-12", "지도Link")</f>
        <v/>
      </c>
      <c r="N3007" s="6">
        <f>HYPERLINK("http://www.eum.go.kr/web/ar/lu/luLandDet.jsp?pnu=3611037022100640012&amp;isNoScr=script&amp;mode=search", "토지이음")</f>
        <v/>
      </c>
      <c r="O3007" s="3" t="inlineStr">
        <is>
          <t>스카이</t>
        </is>
      </c>
      <c r="P3007" s="4" t="n">
        <v>1</v>
      </c>
      <c r="Q3007" s="4" t="n">
        <v>1371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급경사</t>
        </is>
      </c>
      <c r="U3007" s="3" t="inlineStr">
        <is>
          <t>부정형</t>
        </is>
      </c>
      <c r="V3007" s="3" t="inlineStr">
        <is>
          <t>중로한면</t>
        </is>
      </c>
    </row>
    <row r="3008">
      <c r="A3008" s="3" t="inlineStr">
        <is>
          <t>전의면 동교리 66-11</t>
        </is>
      </c>
      <c r="B3008" s="3" t="inlineStr">
        <is>
          <t>계획관리지역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78500</v>
      </c>
      <c r="G3008" s="4" t="n">
        <v>2296</v>
      </c>
      <c r="H3008" s="4" t="n">
        <v>695</v>
      </c>
      <c r="I3008" s="5" t="n">
        <v>112.9</v>
      </c>
      <c r="J3008" s="5" t="n">
        <v>23.7</v>
      </c>
      <c r="K3008" s="3" t="inlineStr">
        <is>
          <t>전의면 동교리 도로접 계획관리 토지매매</t>
        </is>
      </c>
      <c r="L3008" s="6">
        <f>HYPERLINK("https://fin.land.naver.com/articles/2653300909", "매물Link")</f>
        <v/>
      </c>
      <c r="M3008" s="6">
        <f>HYPERLINK("https://map.naver.com/p/search/전의면 동교리 66-11", "지도Link")</f>
        <v/>
      </c>
      <c r="N3008" s="6">
        <f>HYPERLINK("http://www.eum.go.kr/web/ar/lu/luLandDet.jsp?pnu=3611037022100660011&amp;isNoScr=script&amp;mode=search", "토지이음")</f>
        <v/>
      </c>
      <c r="O3008" s="3" t="inlineStr">
        <is>
          <t>재화</t>
        </is>
      </c>
      <c r="P3008" s="4" t="n">
        <v>1</v>
      </c>
      <c r="Q3008" s="4" t="n">
        <v>250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부정형</t>
        </is>
      </c>
      <c r="V3008" s="3" t="inlineStr">
        <is>
          <t>세로한면(불)</t>
        </is>
      </c>
    </row>
    <row r="3009">
      <c r="A3009" s="3" t="inlineStr">
        <is>
          <t>전의면 동교리 77-8</t>
        </is>
      </c>
      <c r="B3009" s="3" t="inlineStr">
        <is>
          <t>계획관리지역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124000</v>
      </c>
      <c r="G3009" s="4" t="n">
        <v>2059</v>
      </c>
      <c r="H3009" s="4" t="n">
        <v>623</v>
      </c>
      <c r="I3009" s="5" t="n">
        <v>199</v>
      </c>
      <c r="J3009" s="5" t="n">
        <v>25</v>
      </c>
      <c r="K3009" s="3" t="inlineStr">
        <is>
          <t>전의 외곽도로 부근. 전의일반산단,스마트산단 인근으로 튜자 유망.</t>
        </is>
      </c>
      <c r="L3009" s="6">
        <f>HYPERLINK("https://fin.land.naver.com/articles/2656194595", "매물Link")</f>
        <v/>
      </c>
      <c r="M3009" s="6">
        <f>HYPERLINK("https://map.naver.com/p/search/전의면 동교리 77-8", "지도Link")</f>
        <v/>
      </c>
      <c r="N3009" s="6">
        <f>HYPERLINK("http://www.eum.go.kr/web/ar/lu/luLandDet.jsp?pnu=3611037022100770008&amp;isNoScr=script&amp;mode=search", "토지이음")</f>
        <v/>
      </c>
      <c r="O3009" s="3" t="inlineStr">
        <is>
          <t>세종소담114</t>
        </is>
      </c>
      <c r="P3009" s="4" t="n">
        <v>1</v>
      </c>
      <c r="Q3009" s="4" t="n">
        <v>2059</v>
      </c>
      <c r="R3009" s="3" t="inlineStr">
        <is>
          <t>지정되지않음</t>
        </is>
      </c>
      <c r="S3009" s="3" t="inlineStr">
        <is>
          <t>답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맹지</t>
        </is>
      </c>
    </row>
    <row r="3010">
      <c r="A3010" s="3" t="inlineStr">
        <is>
          <t>전의면 동교리 77-8</t>
        </is>
      </c>
      <c r="B3010" s="3" t="inlineStr">
        <is>
          <t>계획관리지역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100000</v>
      </c>
      <c r="G3010" s="4" t="n">
        <v>2049</v>
      </c>
      <c r="H3010" s="4" t="n">
        <v>620</v>
      </c>
      <c r="I3010" s="5" t="n">
        <v>161.3</v>
      </c>
      <c r="J3010" s="5" t="n">
        <v>25</v>
      </c>
      <c r="K3010" s="3" t="inlineStr">
        <is>
          <t>급매,투자추천</t>
        </is>
      </c>
      <c r="L3010" s="6">
        <f>HYPERLINK("https://fin.land.naver.com/articles/2655911313", "매물Link")</f>
        <v/>
      </c>
      <c r="M3010" s="6">
        <f>HYPERLINK("https://map.naver.com/p/search/전의면 동교리 77-8", "지도Link")</f>
        <v/>
      </c>
      <c r="N3010" s="6">
        <f>HYPERLINK("http://www.eum.go.kr/web/ar/lu/luLandDet.jsp?pnu=3611037022100770008&amp;isNoScr=script&amp;mode=search", "토지이음")</f>
        <v/>
      </c>
      <c r="O3010" s="3" t="inlineStr">
        <is>
          <t>다산</t>
        </is>
      </c>
      <c r="P3010" s="4" t="n">
        <v>2</v>
      </c>
      <c r="Q3010" s="4" t="n">
        <v>2059</v>
      </c>
      <c r="R3010" s="3" t="inlineStr">
        <is>
          <t>지정되지않음</t>
        </is>
      </c>
      <c r="S3010" s="3" t="inlineStr">
        <is>
          <t>답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맹지</t>
        </is>
      </c>
    </row>
    <row r="3011">
      <c r="A3011" s="3" t="inlineStr">
        <is>
          <t>전의면 서정리 127</t>
        </is>
      </c>
      <c r="B3011" s="3" t="inlineStr">
        <is>
          <t>계획관리지역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50000</v>
      </c>
      <c r="G3011" s="4" t="n">
        <v>2192</v>
      </c>
      <c r="H3011" s="4" t="n">
        <v>663</v>
      </c>
      <c r="I3011" s="5" t="n">
        <v>75.40000000000001</v>
      </c>
      <c r="J3011" s="5" t="n">
        <v>37.3</v>
      </c>
      <c r="K3011" s="3" t="inlineStr">
        <is>
          <t>급매</t>
        </is>
      </c>
      <c r="L3011" s="6">
        <f>HYPERLINK("https://fin.land.naver.com/articles/2656235319", "매물Link")</f>
        <v/>
      </c>
      <c r="M3011" s="6">
        <f>HYPERLINK("https://map.naver.com/p/search/전의면 서정리 127", "지도Link")</f>
        <v/>
      </c>
      <c r="N3011" s="6">
        <f>HYPERLINK("http://www.eum.go.kr/web/ar/lu/luLandDet.jsp?pnu=3611037023101270000&amp;isNoScr=script&amp;mode=search", "토지이음")</f>
        <v/>
      </c>
      <c r="O3011" s="3" t="inlineStr">
        <is>
          <t>그래그</t>
        </is>
      </c>
      <c r="P3011" s="4" t="n">
        <v>4</v>
      </c>
      <c r="Q3011" s="4" t="n">
        <v>2192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세로한면(가)</t>
        </is>
      </c>
    </row>
    <row r="3012">
      <c r="A3012" s="3" t="inlineStr">
        <is>
          <t>전의면 서정리 127</t>
        </is>
      </c>
      <c r="B3012" s="3" t="inlineStr">
        <is>
          <t>계획관리지역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50000</v>
      </c>
      <c r="G3012" s="4" t="n">
        <v>2192</v>
      </c>
      <c r="H3012" s="4" t="n">
        <v>663</v>
      </c>
      <c r="I3012" s="5" t="n">
        <v>75.40000000000001</v>
      </c>
      <c r="J3012" s="5" t="n">
        <v>37.3</v>
      </c>
      <c r="K3012" s="3" t="inlineStr">
        <is>
          <t>전의면 서정리 계획관리 도로접 토지매매</t>
        </is>
      </c>
      <c r="L3012" s="6">
        <f>HYPERLINK("https://fin.land.naver.com/articles/2653298949", "매물Link")</f>
        <v/>
      </c>
      <c r="M3012" s="6">
        <f>HYPERLINK("https://map.naver.com/p/search/전의면 서정리 127", "지도Link")</f>
        <v/>
      </c>
      <c r="N3012" s="6">
        <f>HYPERLINK("http://www.eum.go.kr/web/ar/lu/luLandDet.jsp?pnu=3611037023101270000&amp;isNoScr=script&amp;mode=search", "토지이음")</f>
        <v/>
      </c>
      <c r="O3012" s="3" t="inlineStr">
        <is>
          <t>재화</t>
        </is>
      </c>
      <c r="P3012" s="4" t="n">
        <v>1</v>
      </c>
      <c r="Q3012" s="4" t="n">
        <v>2192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완경사</t>
        </is>
      </c>
      <c r="U3012" s="3" t="inlineStr">
        <is>
          <t>부정형</t>
        </is>
      </c>
      <c r="V3012" s="3" t="inlineStr">
        <is>
          <t>세로한면(가)</t>
        </is>
      </c>
    </row>
    <row r="3013">
      <c r="A3013" s="3" t="inlineStr">
        <is>
          <t>전의면 서정리 170-3</t>
        </is>
      </c>
      <c r="B3013" s="3" t="inlineStr">
        <is>
          <t>계획관리지역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380000</v>
      </c>
      <c r="G3013" s="4" t="n">
        <v>9878</v>
      </c>
      <c r="H3013" s="4" t="n">
        <v>2988</v>
      </c>
      <c r="I3013" s="5" t="n">
        <v>127.2</v>
      </c>
      <c r="J3013" s="5" t="n">
        <v>88.59999999999999</v>
      </c>
      <c r="K3013" s="3" t="inlineStr">
        <is>
          <t>매력적인 가격, 2차선 도로접한 접근성 좋은토지, 계획관리</t>
        </is>
      </c>
      <c r="L3013" s="6">
        <f>HYPERLINK("https://fin.land.naver.com/articles/2651734607", "매물Link")</f>
        <v/>
      </c>
      <c r="M3013" s="6">
        <f>HYPERLINK("https://map.naver.com/p/search/전의면 서정리 170-3", "지도Link")</f>
        <v/>
      </c>
      <c r="N3013" s="6">
        <f>HYPERLINK("http://www.eum.go.kr/web/ar/lu/luLandDet.jsp?pnu=3611037023101700003&amp;isNoScr=script&amp;mode=search", "토지이음")</f>
        <v/>
      </c>
      <c r="O3013" s="3" t="inlineStr">
        <is>
          <t>스마트OK</t>
        </is>
      </c>
      <c r="P3013" s="4" t="n">
        <v>1</v>
      </c>
      <c r="Q3013" s="4" t="n">
        <v>970</v>
      </c>
      <c r="R3013" s="3" t="inlineStr">
        <is>
          <t>지정되지않음</t>
        </is>
      </c>
      <c r="S3013" s="3" t="inlineStr">
        <is>
          <t>주상용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전의면 서정리 215-1</t>
        </is>
      </c>
      <c r="B3014" s="3" t="inlineStr">
        <is>
          <t>농림지역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23000</v>
      </c>
      <c r="G3014" s="4" t="n">
        <v>2463</v>
      </c>
      <c r="H3014" s="4" t="n">
        <v>745</v>
      </c>
      <c r="I3014" s="5" t="n">
        <v>30.9</v>
      </c>
      <c r="J3014" s="5" t="n">
        <v>14.9</v>
      </c>
      <c r="K3014" s="3" t="inlineStr">
        <is>
          <t>nan</t>
        </is>
      </c>
      <c r="L3014" s="6">
        <f>HYPERLINK("https://fin.land.naver.com/articles/2650856664", "매물Link")</f>
        <v/>
      </c>
      <c r="M3014" s="6">
        <f>HYPERLINK("https://map.naver.com/p/search/전의면 서정리 215-1", "지도Link")</f>
        <v/>
      </c>
      <c r="N3014" s="6">
        <f>HYPERLINK("http://www.eum.go.kr/web/ar/lu/luLandDet.jsp?pnu=3611037023102150001&amp;isNoScr=script&amp;mode=search", "토지이음")</f>
        <v/>
      </c>
      <c r="O3014" s="3" t="inlineStr">
        <is>
          <t>세종대박</t>
        </is>
      </c>
      <c r="P3014" s="4" t="n">
        <v>1</v>
      </c>
      <c r="Q3014" s="4" t="n">
        <v>2463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평지</t>
        </is>
      </c>
      <c r="U3014" s="3" t="inlineStr">
        <is>
          <t>부정형</t>
        </is>
      </c>
      <c r="V3014" s="3" t="inlineStr">
        <is>
          <t>세로한면(가)</t>
        </is>
      </c>
    </row>
    <row r="3015">
      <c r="A3015" s="3" t="inlineStr">
        <is>
          <t>전의면 서정리 288</t>
        </is>
      </c>
      <c r="B3015" s="3" t="inlineStr">
        <is>
          <t>계획관리지역</t>
        </is>
      </c>
      <c r="C3015" s="3" t="inlineStr">
        <is>
          <t>답</t>
        </is>
      </c>
      <c r="D3015" s="3" t="inlineStr">
        <is>
          <t>답</t>
        </is>
      </c>
      <c r="E3015" s="3" t="inlineStr">
        <is>
          <t>매매</t>
        </is>
      </c>
      <c r="F3015" s="4" t="n">
        <v>160000</v>
      </c>
      <c r="G3015" s="4" t="n">
        <v>4972</v>
      </c>
      <c r="H3015" s="4" t="n">
        <v>1504</v>
      </c>
      <c r="I3015" s="5" t="n">
        <v>106.4</v>
      </c>
      <c r="J3015" s="5" t="n">
        <v>21.3</v>
      </c>
      <c r="K3015" s="3" t="inlineStr">
        <is>
          <t>약 5미터도로접한 계획관리 토지. 분할가능</t>
        </is>
      </c>
      <c r="L3015" s="6">
        <f>HYPERLINK("https://fin.land.naver.com/articles/2652125883", "매물Link")</f>
        <v/>
      </c>
      <c r="M3015" s="6">
        <f>HYPERLINK("https://map.naver.com/p/search/전의면 서정리 288", "지도Link")</f>
        <v/>
      </c>
      <c r="N3015" s="6">
        <f>HYPERLINK("http://www.eum.go.kr/web/ar/lu/luLandDet.jsp?pnu=3611037023102880000&amp;isNoScr=script&amp;mode=search", "토지이음")</f>
        <v/>
      </c>
      <c r="O3015" s="3" t="inlineStr">
        <is>
          <t>미스터홈즈강남지사</t>
        </is>
      </c>
      <c r="P3015" s="4" t="n">
        <v>1</v>
      </c>
      <c r="Q3015" s="4" t="n">
        <v>932</v>
      </c>
      <c r="R3015" s="3" t="inlineStr">
        <is>
          <t>지정되지않음</t>
        </is>
      </c>
      <c r="S3015" s="3" t="inlineStr">
        <is>
          <t>답</t>
        </is>
      </c>
      <c r="T3015" s="3" t="inlineStr">
        <is>
          <t>평지</t>
        </is>
      </c>
      <c r="U3015" s="3" t="inlineStr">
        <is>
          <t>부정형</t>
        </is>
      </c>
      <c r="V3015" s="3" t="inlineStr">
        <is>
          <t>맹지</t>
        </is>
      </c>
    </row>
    <row r="3016">
      <c r="A3016" s="3" t="inlineStr">
        <is>
          <t>전의면 서정리 380</t>
        </is>
      </c>
      <c r="B3016" s="3" t="inlineStr">
        <is>
          <t>계획관리지역</t>
        </is>
      </c>
      <c r="C3016" s="3" t="inlineStr">
        <is>
          <t>답</t>
        </is>
      </c>
      <c r="D3016" s="3" t="inlineStr">
        <is>
          <t>답</t>
        </is>
      </c>
      <c r="E3016" s="3" t="inlineStr">
        <is>
          <t>매매</t>
        </is>
      </c>
      <c r="F3016" s="4" t="n">
        <v>60000</v>
      </c>
      <c r="G3016" s="4" t="n">
        <v>3996</v>
      </c>
      <c r="H3016" s="4" t="n">
        <v>1209</v>
      </c>
      <c r="I3016" s="5" t="n">
        <v>49.6</v>
      </c>
      <c r="J3016" s="5" t="n">
        <v>23.2</v>
      </c>
      <c r="K3016" s="3" t="inlineStr">
        <is>
          <t>nan</t>
        </is>
      </c>
      <c r="L3016" s="6">
        <f>HYPERLINK("https://fin.land.naver.com/articles/2654027658", "매물Link")</f>
        <v/>
      </c>
      <c r="M3016" s="6">
        <f>HYPERLINK("https://map.naver.com/p/search/전의면 서정리 380", "지도Link")</f>
        <v/>
      </c>
      <c r="N3016" s="6">
        <f>HYPERLINK("http://www.eum.go.kr/web/ar/lu/luLandDet.jsp?pnu=3611037023103800000&amp;isNoScr=script&amp;mode=search", "토지이음")</f>
        <v/>
      </c>
      <c r="O3016" s="3" t="inlineStr">
        <is>
          <t>사랑  사무소</t>
        </is>
      </c>
      <c r="P3016" s="4" t="n">
        <v>2</v>
      </c>
      <c r="Q3016" s="4" t="n">
        <v>2996.5</v>
      </c>
      <c r="R3016" s="3" t="inlineStr">
        <is>
          <t>지정되지않음</t>
        </is>
      </c>
      <c r="S3016" s="3" t="inlineStr">
        <is>
          <t>답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세로한면(불)</t>
        </is>
      </c>
    </row>
    <row r="3017">
      <c r="A3017" s="3" t="inlineStr">
        <is>
          <t>전의면 서정리 49</t>
        </is>
      </c>
      <c r="B3017" s="3" t="inlineStr">
        <is>
          <t>계획관리지역</t>
        </is>
      </c>
      <c r="C3017" s="3" t="inlineStr">
        <is>
          <t>전</t>
        </is>
      </c>
      <c r="D3017" s="3" t="inlineStr">
        <is>
          <t>전</t>
        </is>
      </c>
      <c r="E3017" s="3" t="inlineStr">
        <is>
          <t>매매</t>
        </is>
      </c>
      <c r="F3017" s="4" t="n">
        <v>80000</v>
      </c>
      <c r="G3017" s="4" t="n">
        <v>2641</v>
      </c>
      <c r="H3017" s="4" t="n">
        <v>799</v>
      </c>
      <c r="I3017" s="5" t="n">
        <v>100.1</v>
      </c>
      <c r="J3017" s="5" t="n">
        <v>20.8</v>
      </c>
      <c r="K3017" s="3" t="inlineStr">
        <is>
          <t>전의역 5분. 전의산업단지 인근. 계획관리지역. 투자가치 높은 토지</t>
        </is>
      </c>
      <c r="L3017" s="6">
        <f>HYPERLINK("https://fin.land.naver.com/articles/2651021353", "매물Link")</f>
        <v/>
      </c>
      <c r="M3017" s="6">
        <f>HYPERLINK("https://map.naver.com/p/search/전의면 서정리 49", "지도Link")</f>
        <v/>
      </c>
      <c r="N3017" s="6">
        <f>HYPERLINK("http://www.eum.go.kr/web/ar/lu/luLandDet.jsp?pnu=3611037023100490000&amp;isNoScr=script&amp;mode=search", "토지이음")</f>
        <v/>
      </c>
      <c r="O3017" s="3" t="inlineStr">
        <is>
          <t>새롬삼둥이</t>
        </is>
      </c>
      <c r="P3017" s="4" t="n">
        <v>1</v>
      </c>
      <c r="Q3017" s="4" t="n">
        <v>2641</v>
      </c>
      <c r="R3017" s="3" t="inlineStr">
        <is>
          <t>지정되지않음</t>
        </is>
      </c>
      <c r="S3017" s="3" t="inlineStr">
        <is>
          <t>전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전의면 서정리 78</t>
        </is>
      </c>
      <c r="B3018" s="3" t="inlineStr">
        <is>
          <t>계획관리지역</t>
        </is>
      </c>
      <c r="C3018" s="3" t="inlineStr">
        <is>
          <t>전</t>
        </is>
      </c>
      <c r="D3018" s="3" t="inlineStr">
        <is>
          <t>답</t>
        </is>
      </c>
      <c r="E3018" s="3" t="inlineStr">
        <is>
          <t>매매</t>
        </is>
      </c>
      <c r="F3018" s="4" t="n">
        <v>62280</v>
      </c>
      <c r="G3018" s="4" t="n">
        <v>1716</v>
      </c>
      <c r="H3018" s="4" t="n">
        <v>519</v>
      </c>
      <c r="I3018" s="5" t="n">
        <v>120</v>
      </c>
      <c r="J3018" s="5" t="n">
        <v>30.7</v>
      </c>
      <c r="K3018" s="3" t="inlineStr">
        <is>
          <t>nan</t>
        </is>
      </c>
      <c r="L3018" s="6">
        <f>HYPERLINK("https://fin.land.naver.com/articles/2652272394", "매물Link")</f>
        <v/>
      </c>
      <c r="M3018" s="6">
        <f>HYPERLINK("https://map.naver.com/p/search/전의면 서정리 78", "지도Link")</f>
        <v/>
      </c>
      <c r="N3018" s="6">
        <f>HYPERLINK("http://www.eum.go.kr/web/ar/lu/luLandDet.jsp?pnu=3611037023100780000&amp;isNoScr=script&amp;mode=search", "토지이음")</f>
        <v/>
      </c>
      <c r="O3018" s="3" t="inlineStr">
        <is>
          <t>그림</t>
        </is>
      </c>
      <c r="P3018" s="4" t="n">
        <v>1</v>
      </c>
      <c r="Q3018" s="4" t="n">
        <v>1716</v>
      </c>
      <c r="R3018" s="3" t="inlineStr">
        <is>
          <t>지정되지않음</t>
        </is>
      </c>
      <c r="S3018" s="3" t="inlineStr">
        <is>
          <t>전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전의면 서정리 80-12</t>
        </is>
      </c>
      <c r="B3019" s="3" t="inlineStr">
        <is>
          <t>계획관리지역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21667</v>
      </c>
      <c r="G3019" s="4" t="n">
        <v>550</v>
      </c>
      <c r="H3019" s="4" t="n">
        <v>166</v>
      </c>
      <c r="I3019" s="5" t="n">
        <v>130.5</v>
      </c>
      <c r="J3019" s="5" t="n">
        <v>44.7</v>
      </c>
      <c r="K3019" s="3" t="inlineStr">
        <is>
          <t>세종시 전의면 전원주택부지 매매, 세종 스마트그린 일반산업단지 인근</t>
        </is>
      </c>
      <c r="L3019" s="6">
        <f>HYPERLINK("https://fin.land.naver.com/articles/2654442295", "매물Link")</f>
        <v/>
      </c>
      <c r="M3019" s="6">
        <f>HYPERLINK("https://map.naver.com/p/search/전의면 서정리 80-12", "지도Link")</f>
        <v/>
      </c>
      <c r="N3019" s="6">
        <f>HYPERLINK("http://www.eum.go.kr/web/ar/lu/luLandDet.jsp?pnu=3611037023100800012&amp;isNoScr=script&amp;mode=search", "토지이음")</f>
        <v/>
      </c>
      <c r="O3019" s="3" t="inlineStr">
        <is>
          <t>테크노비타사사무소</t>
        </is>
      </c>
      <c r="P3019" s="4" t="n">
        <v>1</v>
      </c>
      <c r="Q3019" s="4" t="n">
        <v>550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완경사</t>
        </is>
      </c>
      <c r="U3019" s="3" t="inlineStr">
        <is>
          <t>사다리형</t>
        </is>
      </c>
      <c r="V3019" s="3" t="inlineStr">
        <is>
          <t>세로한면(가)</t>
        </is>
      </c>
    </row>
    <row r="3020">
      <c r="A3020" s="3" t="inlineStr">
        <is>
          <t>전의면 서정리 80-31</t>
        </is>
      </c>
      <c r="B3020" s="3" t="inlineStr">
        <is>
          <t>계획관리지역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32000</v>
      </c>
      <c r="G3020" s="4" t="n">
        <v>704</v>
      </c>
      <c r="H3020" s="4" t="n">
        <v>213</v>
      </c>
      <c r="I3020" s="5" t="n">
        <v>150.2</v>
      </c>
      <c r="J3020" s="5" t="n">
        <v>44.7</v>
      </c>
      <c r="K3020" s="3" t="inlineStr">
        <is>
          <t>급매, 조망좋은 계획관리지역의 택지개발 완료한 전원주택단지내 대지</t>
        </is>
      </c>
      <c r="L3020" s="6">
        <f>HYPERLINK("https://fin.land.naver.com/articles/2650928765", "매물Link")</f>
        <v/>
      </c>
      <c r="M3020" s="6">
        <f>HYPERLINK("https://map.naver.com/p/search/전의면 서정리 80-31", "지도Link")</f>
        <v/>
      </c>
      <c r="N3020" s="6">
        <f>HYPERLINK("http://www.eum.go.kr/web/ar/lu/luLandDet.jsp?pnu=3611037023100800031&amp;isNoScr=script&amp;mode=search", "토지이음")</f>
        <v/>
      </c>
      <c r="O3020" s="3" t="inlineStr">
        <is>
          <t>스마일세종</t>
        </is>
      </c>
      <c r="P3020" s="4" t="n">
        <v>1</v>
      </c>
      <c r="Q3020" s="4" t="n">
        <v>550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사다리형</t>
        </is>
      </c>
      <c r="V3020" s="3" t="inlineStr">
        <is>
          <t>세로한면(가)</t>
        </is>
      </c>
    </row>
    <row r="3021">
      <c r="A3021" s="3" t="inlineStr">
        <is>
          <t>전의면 서정리 93</t>
        </is>
      </c>
      <c r="B3021" s="3" t="inlineStr">
        <is>
          <t>계획관리지역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61200</v>
      </c>
      <c r="G3021" s="4" t="n">
        <v>1838</v>
      </c>
      <c r="H3021" s="4" t="n">
        <v>556</v>
      </c>
      <c r="I3021" s="5" t="n">
        <v>110.1</v>
      </c>
      <c r="J3021" s="5" t="n">
        <v>36.1</v>
      </c>
      <c r="K3021" s="3" t="inlineStr">
        <is>
          <t>계획관리지역, 포장된 사로 연결, 인근에 전원주택단지 및 산업단지</t>
        </is>
      </c>
      <c r="L3021" s="6">
        <f>HYPERLINK("https://fin.land.naver.com/articles/2656063582", "매물Link")</f>
        <v/>
      </c>
      <c r="M3021" s="6">
        <f>HYPERLINK("https://map.naver.com/p/search/전의면 서정리 93", "지도Link")</f>
        <v/>
      </c>
      <c r="N3021" s="6">
        <f>HYPERLINK("http://www.eum.go.kr/web/ar/lu/luLandDet.jsp?pnu=3611037023100930000&amp;isNoScr=script&amp;mode=search", "토지이음")</f>
        <v/>
      </c>
      <c r="O3021" s="3" t="inlineStr">
        <is>
          <t>온뜰</t>
        </is>
      </c>
      <c r="P3021" s="4" t="n">
        <v>1</v>
      </c>
      <c r="Q3021" s="4" t="n">
        <v>1838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세로한면(가)</t>
        </is>
      </c>
    </row>
    <row r="3022">
      <c r="A3022" s="3" t="inlineStr">
        <is>
          <t>전의면 신방리 343-1</t>
        </is>
      </c>
      <c r="B3022" s="3" t="inlineStr">
        <is>
          <t>계획관리지역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4800</v>
      </c>
      <c r="G3022" s="4" t="n">
        <v>783</v>
      </c>
      <c r="H3022" s="4" t="n">
        <v>237</v>
      </c>
      <c r="I3022" s="5" t="n">
        <v>20.3</v>
      </c>
      <c r="J3022" s="5" t="n">
        <v>15.1</v>
      </c>
      <c r="K3022" s="3" t="inlineStr">
        <is>
          <t>농막가능한 텃밭 소형토지</t>
        </is>
      </c>
      <c r="L3022" s="6">
        <f>HYPERLINK("https://fin.land.naver.com/articles/2655483491", "매물Link")</f>
        <v/>
      </c>
      <c r="M3022" s="6">
        <f>HYPERLINK("https://map.naver.com/p/search/전의면 신방리 343-1", "지도Link")</f>
        <v/>
      </c>
      <c r="N3022" s="6">
        <f>HYPERLINK("http://www.eum.go.kr/web/ar/lu/luLandDet.jsp?pnu=3611037030103430001&amp;isNoScr=script&amp;mode=search", "토지이음")</f>
        <v/>
      </c>
      <c r="O3022" s="3" t="inlineStr">
        <is>
          <t>88</t>
        </is>
      </c>
      <c r="P3022" s="4" t="n">
        <v>1</v>
      </c>
      <c r="Q3022" s="4" t="n">
        <v>783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완경사</t>
        </is>
      </c>
      <c r="U3022" s="3" t="inlineStr">
        <is>
          <t>부정형</t>
        </is>
      </c>
      <c r="V3022" s="3" t="inlineStr">
        <is>
          <t>맹지</t>
        </is>
      </c>
    </row>
    <row r="3023">
      <c r="A3023" s="3" t="inlineStr">
        <is>
          <t>전의면 신방리 350-1</t>
        </is>
      </c>
      <c r="B3023" s="3" t="inlineStr">
        <is>
          <t>계획관리지역</t>
        </is>
      </c>
      <c r="C3023" s="3" t="inlineStr">
        <is>
          <t>전</t>
        </is>
      </c>
      <c r="D3023" s="3" t="inlineStr">
        <is>
          <t>전</t>
        </is>
      </c>
      <c r="E3023" s="3" t="inlineStr">
        <is>
          <t>매매</t>
        </is>
      </c>
      <c r="F3023" s="4" t="n">
        <v>3000</v>
      </c>
      <c r="G3023" s="4" t="n">
        <v>340</v>
      </c>
      <c r="H3023" s="4" t="n">
        <v>103</v>
      </c>
      <c r="I3023" s="5" t="n">
        <v>29.1</v>
      </c>
      <c r="J3023" s="5" t="n">
        <v>15.6</v>
      </c>
      <c r="K3023" s="3" t="inlineStr">
        <is>
          <t>냇가 옆, 차량진입, 전원주택, 주말농장, 체류형 쉼터 적지</t>
        </is>
      </c>
      <c r="L3023" s="6">
        <f>HYPERLINK("https://fin.land.naver.com/articles/2655028744", "매물Link")</f>
        <v/>
      </c>
      <c r="M3023" s="6">
        <f>HYPERLINK("https://map.naver.com/p/search/전의면 신방리 350-1", "지도Link")</f>
        <v/>
      </c>
      <c r="N3023" s="6">
        <f>HYPERLINK("http://www.eum.go.kr/web/ar/lu/luLandDet.jsp?pnu=3611037030103500001&amp;isNoScr=script&amp;mode=search", "토지이음")</f>
        <v/>
      </c>
      <c r="O3023" s="3" t="inlineStr">
        <is>
          <t>우리들</t>
        </is>
      </c>
      <c r="P3023" s="4" t="n">
        <v>1</v>
      </c>
      <c r="Q3023" s="4" t="n">
        <v>337</v>
      </c>
      <c r="R3023" s="3" t="inlineStr">
        <is>
          <t>지정되지않음</t>
        </is>
      </c>
      <c r="S3023" s="3" t="inlineStr">
        <is>
          <t>전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맹지</t>
        </is>
      </c>
    </row>
    <row r="3024">
      <c r="A3024" s="3" t="inlineStr">
        <is>
          <t>전의면 신방리 424-2</t>
        </is>
      </c>
      <c r="B3024" s="3" t="inlineStr">
        <is>
          <t>계획관리지역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36800</v>
      </c>
      <c r="G3024" s="4" t="n">
        <v>3038</v>
      </c>
      <c r="H3024" s="4" t="n">
        <v>919</v>
      </c>
      <c r="I3024" s="5" t="n">
        <v>40</v>
      </c>
      <c r="J3024" s="5" t="n">
        <v>18</v>
      </c>
      <c r="K3024" s="3" t="inlineStr">
        <is>
          <t>세종 전의면 계획관리지역 토지입니다.</t>
        </is>
      </c>
      <c r="L3024" s="6">
        <f>HYPERLINK("https://fin.land.naver.com/articles/2656386457", "매물Link")</f>
        <v/>
      </c>
      <c r="M3024" s="6">
        <f>HYPERLINK("https://map.naver.com/p/search/전의면 신방리 424-2", "지도Link")</f>
        <v/>
      </c>
      <c r="N3024" s="6">
        <f>HYPERLINK("http://www.eum.go.kr/web/ar/lu/luLandDet.jsp?pnu=3611037030104240002&amp;isNoScr=script&amp;mode=search", "토지이음")</f>
        <v/>
      </c>
      <c r="O3024" s="3" t="inlineStr">
        <is>
          <t>OK파라곤</t>
        </is>
      </c>
      <c r="P3024" s="4" t="n">
        <v>1</v>
      </c>
      <c r="Q3024" s="4" t="n">
        <v>3038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전의면 신방리 505-1</t>
        </is>
      </c>
      <c r="B3025" s="3" t="inlineStr">
        <is>
          <t>농림지역</t>
        </is>
      </c>
      <c r="C3025" s="3" t="inlineStr">
        <is>
          <t>답</t>
        </is>
      </c>
      <c r="D3025" s="3" t="inlineStr">
        <is>
          <t>답</t>
        </is>
      </c>
      <c r="E3025" s="3" t="inlineStr">
        <is>
          <t>매매</t>
        </is>
      </c>
      <c r="F3025" s="4" t="n">
        <v>36500</v>
      </c>
      <c r="G3025" s="4" t="n">
        <v>3355</v>
      </c>
      <c r="H3025" s="4" t="n">
        <v>1015</v>
      </c>
      <c r="I3025" s="5" t="n">
        <v>36</v>
      </c>
      <c r="J3025" s="5" t="n">
        <v>14</v>
      </c>
      <c r="K3025" s="3" t="inlineStr">
        <is>
          <t>평단가 저렴한 전의면 신방리 토지</t>
        </is>
      </c>
      <c r="L3025" s="6">
        <f>HYPERLINK("https://fin.land.naver.com/articles/2653684213", "매물Link")</f>
        <v/>
      </c>
      <c r="M3025" s="6">
        <f>HYPERLINK("https://map.naver.com/p/search/전의면 신방리 505-1", "지도Link")</f>
        <v/>
      </c>
      <c r="N3025" s="6">
        <f>HYPERLINK("http://www.eum.go.kr/web/ar/lu/luLandDet.jsp?pnu=3611037030105050001&amp;isNoScr=script&amp;mode=search", "토지이음")</f>
        <v/>
      </c>
      <c r="O3025" s="3" t="inlineStr">
        <is>
          <t>지성</t>
        </is>
      </c>
      <c r="P3025" s="4" t="n">
        <v>1</v>
      </c>
      <c r="Q3025" s="4" t="n">
        <v>3355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세로한면(불)</t>
        </is>
      </c>
    </row>
    <row r="3026">
      <c r="A3026" s="3" t="inlineStr">
        <is>
          <t>전의면 신방리 68-2</t>
        </is>
      </c>
      <c r="B3026" s="3" t="inlineStr">
        <is>
          <t>계획관리지역</t>
        </is>
      </c>
      <c r="C3026" s="3" t="inlineStr">
        <is>
          <t>전</t>
        </is>
      </c>
      <c r="D3026" s="3" t="inlineStr">
        <is>
          <t>전</t>
        </is>
      </c>
      <c r="E3026" s="3" t="inlineStr">
        <is>
          <t>매매</t>
        </is>
      </c>
      <c r="F3026" s="4" t="n">
        <v>39200</v>
      </c>
      <c r="G3026" s="4" t="n">
        <v>1295</v>
      </c>
      <c r="H3026" s="4" t="n">
        <v>392</v>
      </c>
      <c r="I3026" s="5" t="n">
        <v>100</v>
      </c>
      <c r="J3026" s="5" t="n">
        <v>48</v>
      </c>
      <c r="K3026" s="3" t="inlineStr">
        <is>
          <t>nan</t>
        </is>
      </c>
      <c r="L3026" s="6">
        <f>HYPERLINK("https://fin.land.naver.com/articles/2652066215", "매물Link")</f>
        <v/>
      </c>
      <c r="M3026" s="6">
        <f>HYPERLINK("https://map.naver.com/p/search/전의면 신방리 68-2", "지도Link")</f>
        <v/>
      </c>
      <c r="N3026" s="6">
        <f>HYPERLINK("http://www.eum.go.kr/web/ar/lu/luLandDet.jsp?pnu=3611037030100680002&amp;isNoScr=script&amp;mode=search", "토지이음")</f>
        <v/>
      </c>
      <c r="O3026" s="3" t="inlineStr">
        <is>
          <t>신와촌</t>
        </is>
      </c>
      <c r="P3026" s="4" t="n">
        <v>1</v>
      </c>
      <c r="Q3026" s="4" t="n">
        <v>1297</v>
      </c>
      <c r="R3026" s="3" t="inlineStr">
        <is>
          <t>지정되지않음</t>
        </is>
      </c>
      <c r="S3026" s="3" t="inlineStr">
        <is>
          <t>전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세로한면(가)</t>
        </is>
      </c>
    </row>
    <row r="3027">
      <c r="A3027" s="3" t="inlineStr">
        <is>
          <t>전의면 신정리 170</t>
        </is>
      </c>
      <c r="B3027" s="3" t="inlineStr">
        <is>
          <t>계획관리지역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45000</v>
      </c>
      <c r="G3027" s="4" t="n">
        <v>1897</v>
      </c>
      <c r="H3027" s="4" t="n">
        <v>574</v>
      </c>
      <c r="I3027" s="5" t="n">
        <v>78.40000000000001</v>
      </c>
      <c r="J3027" s="5" t="n">
        <v>38.7</v>
      </c>
      <c r="K3027" s="3" t="inlineStr">
        <is>
          <t>도로있음, 전원주택 포함</t>
        </is>
      </c>
      <c r="L3027" s="6">
        <f>HYPERLINK("https://fin.land.naver.com/articles/2656220134", "매물Link")</f>
        <v/>
      </c>
      <c r="M3027" s="6">
        <f>HYPERLINK("https://map.naver.com/p/search/전의면 신정리 170", "지도Link")</f>
        <v/>
      </c>
      <c r="N3027" s="6">
        <f>HYPERLINK("http://www.eum.go.kr/web/ar/lu/luLandDet.jsp?pnu=3611037028101700000&amp;isNoScr=script&amp;mode=search", "토지이음")</f>
        <v/>
      </c>
      <c r="O3027" s="3" t="inlineStr">
        <is>
          <t>북세종</t>
        </is>
      </c>
      <c r="P3027" s="4" t="n">
        <v>1</v>
      </c>
      <c r="Q3027" s="4" t="n">
        <v>549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완경사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전의면 신정리 258-3</t>
        </is>
      </c>
      <c r="B3028" s="3" t="inlineStr">
        <is>
          <t>계획관리지역</t>
        </is>
      </c>
      <c r="C3028" s="3" t="inlineStr">
        <is>
          <t>답</t>
        </is>
      </c>
      <c r="D3028" s="3" t="inlineStr">
        <is>
          <t>답</t>
        </is>
      </c>
      <c r="E3028" s="3" t="inlineStr">
        <is>
          <t>매매</t>
        </is>
      </c>
      <c r="F3028" s="4" t="n">
        <v>48530</v>
      </c>
      <c r="G3028" s="4" t="n">
        <v>1395</v>
      </c>
      <c r="H3028" s="4" t="n">
        <v>422</v>
      </c>
      <c r="I3028" s="5" t="n">
        <v>115</v>
      </c>
      <c r="J3028" s="5" t="n">
        <v>20.6</v>
      </c>
      <c r="K3028" s="3" t="inlineStr">
        <is>
          <t>전의일반산단 인근 계획관리 토지. 전의역 2.5km 반경</t>
        </is>
      </c>
      <c r="L3028" s="6">
        <f>HYPERLINK("https://fin.land.naver.com/articles/2652031822", "매물Link")</f>
        <v/>
      </c>
      <c r="M3028" s="6">
        <f>HYPERLINK("https://map.naver.com/p/search/전의면 신정리 258-3", "지도Link")</f>
        <v/>
      </c>
      <c r="N3028" s="6">
        <f>HYPERLINK("http://www.eum.go.kr/web/ar/lu/luLandDet.jsp?pnu=3611037028102580003&amp;isNoScr=script&amp;mode=search", "토지이음")</f>
        <v/>
      </c>
      <c r="O3028" s="3" t="inlineStr">
        <is>
          <t>미스터홈즈강남지사</t>
        </is>
      </c>
      <c r="P3028" s="4" t="n">
        <v>1</v>
      </c>
      <c r="Q3028" s="4" t="n">
        <v>1395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세로한면(가)</t>
        </is>
      </c>
    </row>
    <row r="3029">
      <c r="A3029" s="3" t="inlineStr">
        <is>
          <t>전의면 신정리 265</t>
        </is>
      </c>
      <c r="B3029" s="3" t="inlineStr">
        <is>
          <t>계획관리지역</t>
        </is>
      </c>
      <c r="C3029" s="3" t="inlineStr">
        <is>
          <t>전</t>
        </is>
      </c>
      <c r="D3029" s="3" t="inlineStr">
        <is>
          <t>전</t>
        </is>
      </c>
      <c r="E3029" s="3" t="inlineStr">
        <is>
          <t>매매</t>
        </is>
      </c>
      <c r="F3029" s="4" t="n">
        <v>100000</v>
      </c>
      <c r="G3029" s="4" t="n">
        <v>3415</v>
      </c>
      <c r="H3029" s="4" t="n">
        <v>1033</v>
      </c>
      <c r="I3029" s="5" t="n">
        <v>96.8</v>
      </c>
      <c r="J3029" s="5" t="n">
        <v>16</v>
      </c>
      <c r="K3029" s="3" t="inlineStr">
        <is>
          <t>필지가 여러개임.</t>
        </is>
      </c>
      <c r="L3029" s="6">
        <f>HYPERLINK("https://fin.land.naver.com/articles/2654853943", "매물Link")</f>
        <v/>
      </c>
      <c r="M3029" s="6">
        <f>HYPERLINK("https://map.naver.com/p/search/전의면 신정리 265", "지도Link")</f>
        <v/>
      </c>
      <c r="N3029" s="6">
        <f>HYPERLINK("http://www.eum.go.kr/web/ar/lu/luLandDet.jsp?pnu=3611037028102650000&amp;isNoScr=script&amp;mode=search", "토지이음")</f>
        <v/>
      </c>
      <c r="O3029" s="3" t="inlineStr">
        <is>
          <t>세종리츠</t>
        </is>
      </c>
      <c r="P3029" s="4" t="n">
        <v>1</v>
      </c>
      <c r="Q3029" s="4" t="n">
        <v>1200</v>
      </c>
      <c r="R3029" s="3" t="inlineStr">
        <is>
          <t>지정되지않음</t>
        </is>
      </c>
      <c r="S3029" s="3" t="inlineStr">
        <is>
          <t>전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맹지</t>
        </is>
      </c>
    </row>
    <row r="3030">
      <c r="A3030" s="3" t="inlineStr">
        <is>
          <t>전의면 신정리 296</t>
        </is>
      </c>
      <c r="B3030" s="3" t="inlineStr">
        <is>
          <t>농림지역</t>
        </is>
      </c>
      <c r="C3030" s="3" t="inlineStr">
        <is>
          <t>답</t>
        </is>
      </c>
      <c r="D3030" s="3" t="inlineStr">
        <is>
          <t>기타</t>
        </is>
      </c>
      <c r="E3030" s="3" t="inlineStr">
        <is>
          <t>매매</t>
        </is>
      </c>
      <c r="F3030" s="4" t="n">
        <v>100000</v>
      </c>
      <c r="G3030" s="4" t="n">
        <v>9763</v>
      </c>
      <c r="H3030" s="4" t="n">
        <v>2953</v>
      </c>
      <c r="I3030" s="5" t="n">
        <v>33.9</v>
      </c>
      <c r="J3030" s="5" t="n">
        <v>14.7</v>
      </c>
      <c r="K3030" s="3" t="inlineStr">
        <is>
          <t>대명 423 0204 화급</t>
        </is>
      </c>
      <c r="L3030" s="6">
        <f>HYPERLINK("https://fin.land.naver.com/articles/2650980720", "매물Link")</f>
        <v/>
      </c>
      <c r="M3030" s="6">
        <f>HYPERLINK("https://map.naver.com/p/search/전의면 신정리 296", "지도Link")</f>
        <v/>
      </c>
      <c r="N3030" s="6">
        <f>HYPERLINK("http://www.eum.go.kr/web/ar/lu/luLandDet.jsp?pnu=3611037028102960000&amp;isNoScr=script&amp;mode=search", "토지이음")</f>
        <v/>
      </c>
      <c r="O3030" s="3" t="inlineStr">
        <is>
          <t>대명</t>
        </is>
      </c>
      <c r="P3030" s="4" t="n">
        <v>1</v>
      </c>
      <c r="Q3030" s="4" t="n">
        <v>4069</v>
      </c>
      <c r="R3030" s="3" t="inlineStr">
        <is>
          <t>지정되지않음</t>
        </is>
      </c>
      <c r="S3030" s="3" t="inlineStr">
        <is>
          <t>답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세로한면(불)</t>
        </is>
      </c>
    </row>
    <row r="3031">
      <c r="A3031" s="3" t="inlineStr">
        <is>
          <t>전의면 신정리 301</t>
        </is>
      </c>
      <c r="B3031" s="3" t="inlineStr">
        <is>
          <t>농림지역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15200</v>
      </c>
      <c r="G3031" s="4" t="n">
        <v>1002</v>
      </c>
      <c r="H3031" s="4" t="n">
        <v>303</v>
      </c>
      <c r="I3031" s="5" t="n">
        <v>50.2</v>
      </c>
      <c r="J3031" s="5" t="n">
        <v>17.6</v>
      </c>
      <c r="K3031" s="3" t="inlineStr">
        <is>
          <t>2차선접한 농림지역 전. 무허가주택은 멸실 또는 양성화 가능</t>
        </is>
      </c>
      <c r="L3031" s="6">
        <f>HYPERLINK("https://fin.land.naver.com/articles/2651150943", "매물Link")</f>
        <v/>
      </c>
      <c r="M3031" s="6">
        <f>HYPERLINK("https://map.naver.com/p/search/전의면 신정리 301", "지도Link")</f>
        <v/>
      </c>
      <c r="N3031" s="6">
        <f>HYPERLINK("http://www.eum.go.kr/web/ar/lu/luLandDet.jsp?pnu=3611037028103010000&amp;isNoScr=script&amp;mode=search", "토지이음")</f>
        <v/>
      </c>
      <c r="O3031" s="3" t="inlineStr">
        <is>
          <t>미스터홈즈강남지사</t>
        </is>
      </c>
      <c r="P3031" s="4" t="n">
        <v>1</v>
      </c>
      <c r="Q3031" s="4" t="n">
        <v>1002</v>
      </c>
      <c r="R3031" s="3" t="inlineStr">
        <is>
          <t>지정되지않음</t>
        </is>
      </c>
      <c r="S3031" s="3" t="inlineStr">
        <is>
          <t>전기타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전의면 신정리 486-2</t>
        </is>
      </c>
      <c r="B3032" s="3" t="inlineStr">
        <is>
          <t>계획관리지역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108000</v>
      </c>
      <c r="G3032" s="4" t="n">
        <v>3954</v>
      </c>
      <c r="H3032" s="4" t="n">
        <v>1196</v>
      </c>
      <c r="I3032" s="5" t="n">
        <v>90.3</v>
      </c>
      <c r="J3032" s="5" t="n">
        <v>26.8</v>
      </c>
      <c r="K3032" s="3" t="inlineStr">
        <is>
          <t>가,감차선 진,출입로 설치됨</t>
        </is>
      </c>
      <c r="L3032" s="6">
        <f>HYPERLINK("https://fin.land.naver.com/articles/2656211686", "매물Link")</f>
        <v/>
      </c>
      <c r="M3032" s="6">
        <f>HYPERLINK("https://map.naver.com/p/search/전의면 신정리 486-2", "지도Link")</f>
        <v/>
      </c>
      <c r="N3032" s="6">
        <f>HYPERLINK("http://www.eum.go.kr/web/ar/lu/luLandDet.jsp?pnu=3611037028104860002&amp;isNoScr=script&amp;mode=search", "토지이음")</f>
        <v/>
      </c>
      <c r="O3032" s="3" t="inlineStr">
        <is>
          <t>으뜸</t>
        </is>
      </c>
      <c r="P3032" s="4" t="n">
        <v>1</v>
      </c>
      <c r="Q3032" s="4" t="n">
        <v>3309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중로한면</t>
        </is>
      </c>
    </row>
    <row r="3033">
      <c r="A3033" s="3" t="inlineStr">
        <is>
          <t>전의면 신정리 564-10</t>
        </is>
      </c>
      <c r="B3033" s="3" t="inlineStr">
        <is>
          <t>계획관리지역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11000</v>
      </c>
      <c r="G3033" s="4" t="n">
        <v>354</v>
      </c>
      <c r="H3033" s="4" t="n">
        <v>107</v>
      </c>
      <c r="I3033" s="5" t="n">
        <v>102.8</v>
      </c>
      <c r="J3033" s="5" t="n">
        <v>46.2</v>
      </c>
      <c r="K3033" s="3" t="inlineStr">
        <is>
          <t>도로 접한 토지로 건축용이함 전원주택및 창고용지 좋음</t>
        </is>
      </c>
      <c r="L3033" s="6">
        <f>HYPERLINK("https://fin.land.naver.com/articles/2653414529", "매물Link")</f>
        <v/>
      </c>
      <c r="M3033" s="6">
        <f>HYPERLINK("https://map.naver.com/p/search/전의면 신정리 564-10", "지도Link")</f>
        <v/>
      </c>
      <c r="N3033" s="6">
        <f>HYPERLINK("http://www.eum.go.kr/web/ar/lu/luLandDet.jsp?pnu=3611037028105640010&amp;isNoScr=script&amp;mode=search", "토지이음")</f>
        <v/>
      </c>
      <c r="O3033" s="3" t="inlineStr">
        <is>
          <t>큰길</t>
        </is>
      </c>
      <c r="P3033" s="4" t="n">
        <v>1</v>
      </c>
      <c r="Q3033" s="4" t="n">
        <v>354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전의면 신정리 590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11200</v>
      </c>
      <c r="G3034" s="4" t="n">
        <v>1233</v>
      </c>
      <c r="H3034" s="4" t="n">
        <v>373</v>
      </c>
      <c r="I3034" s="5" t="n">
        <v>30</v>
      </c>
      <c r="J3034" s="5" t="n">
        <v>20</v>
      </c>
      <c r="K3034" s="3" t="inlineStr">
        <is>
          <t>세종시 저렴한 대토용지</t>
        </is>
      </c>
      <c r="L3034" s="6">
        <f>HYPERLINK("https://fin.land.naver.com/articles/2656217482", "매물Link")</f>
        <v/>
      </c>
      <c r="M3034" s="6">
        <f>HYPERLINK("https://map.naver.com/p/search/전의면 신정리 590", "지도Link")</f>
        <v/>
      </c>
      <c r="N3034" s="6">
        <f>HYPERLINK("http://www.eum.go.kr/web/ar/lu/luLandDet.jsp?pnu=3611037028105900000&amp;isNoScr=script&amp;mode=search", "토지이음")</f>
        <v/>
      </c>
      <c r="O3034" s="3" t="inlineStr">
        <is>
          <t>북세종</t>
        </is>
      </c>
      <c r="P3034" s="4" t="n">
        <v>1</v>
      </c>
      <c r="Q3034" s="4" t="n">
        <v>1233</v>
      </c>
      <c r="R3034" s="3" t="inlineStr">
        <is>
          <t>계획관리지역</t>
        </is>
      </c>
      <c r="S3034" s="3" t="inlineStr">
        <is>
          <t>전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맹지</t>
        </is>
      </c>
    </row>
    <row r="3035">
      <c r="A3035" s="3" t="inlineStr">
        <is>
          <t>전의면 신정리 61-2</t>
        </is>
      </c>
      <c r="B3035" s="3" t="inlineStr">
        <is>
          <t>계획관리지역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17500</v>
      </c>
      <c r="G3035" s="4" t="n">
        <v>1828</v>
      </c>
      <c r="H3035" s="4" t="n">
        <v>553</v>
      </c>
      <c r="I3035" s="5" t="n">
        <v>31.6</v>
      </c>
      <c r="J3035" s="5" t="n">
        <v>12.2</v>
      </c>
      <c r="K3035" s="3" t="inlineStr">
        <is>
          <t>세종시 계획관리토지 급매</t>
        </is>
      </c>
      <c r="L3035" s="6">
        <f>HYPERLINK("https://fin.land.naver.com/articles/2654287249", "매물Link")</f>
        <v/>
      </c>
      <c r="M3035" s="6">
        <f>HYPERLINK("https://map.naver.com/p/search/전의면 신정리 61-2", "지도Link")</f>
        <v/>
      </c>
      <c r="N3035" s="6">
        <f>HYPERLINK("http://www.eum.go.kr/web/ar/lu/luLandDet.jsp?pnu=3611037028100610002&amp;isNoScr=script&amp;mode=search", "토지이음")</f>
        <v/>
      </c>
      <c r="O3035" s="3" t="inlineStr">
        <is>
          <t>그린</t>
        </is>
      </c>
      <c r="P3035" s="4" t="n">
        <v>1</v>
      </c>
      <c r="Q3035" s="4" t="n">
        <v>1828</v>
      </c>
      <c r="R3035" s="3" t="inlineStr">
        <is>
          <t>보전관리지역</t>
        </is>
      </c>
      <c r="S3035" s="3" t="inlineStr">
        <is>
          <t>답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세로한면(불)</t>
        </is>
      </c>
    </row>
    <row r="3036">
      <c r="A3036" s="3" t="inlineStr">
        <is>
          <t>전의면 신정리 62-1</t>
        </is>
      </c>
      <c r="B3036" s="3" t="inlineStr">
        <is>
          <t>계획관리지역</t>
        </is>
      </c>
      <c r="C3036" s="3" t="inlineStr">
        <is>
          <t>답</t>
        </is>
      </c>
      <c r="D3036" s="3" t="inlineStr">
        <is>
          <t>답</t>
        </is>
      </c>
      <c r="E3036" s="3" t="inlineStr">
        <is>
          <t>매매</t>
        </is>
      </c>
      <c r="F3036" s="4" t="n">
        <v>60000</v>
      </c>
      <c r="G3036" s="4" t="n">
        <v>4691</v>
      </c>
      <c r="H3036" s="4" t="n">
        <v>1419</v>
      </c>
      <c r="I3036" s="5" t="n">
        <v>42.3</v>
      </c>
      <c r="J3036" s="5" t="n">
        <v>14.9</v>
      </c>
      <c r="K3036" s="3" t="inlineStr">
        <is>
          <t>nan</t>
        </is>
      </c>
      <c r="L3036" s="6">
        <f>HYPERLINK("https://fin.land.naver.com/articles/2655196107", "매물Link")</f>
        <v/>
      </c>
      <c r="M3036" s="6">
        <f>HYPERLINK("https://map.naver.com/p/search/전의면 신정리 62-1", "지도Link")</f>
        <v/>
      </c>
      <c r="N3036" s="6">
        <f>HYPERLINK("http://www.eum.go.kr/web/ar/lu/luLandDet.jsp?pnu=3611037028100620001&amp;isNoScr=script&amp;mode=search", "토지이음")</f>
        <v/>
      </c>
      <c r="O3036" s="3" t="inlineStr">
        <is>
          <t>이림 사무소</t>
        </is>
      </c>
      <c r="P3036" s="4" t="n">
        <v>1</v>
      </c>
      <c r="Q3036" s="4" t="n">
        <v>1223</v>
      </c>
      <c r="R3036" s="3" t="inlineStr">
        <is>
          <t>보전관리지역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전의면 신정리 62-2</t>
        </is>
      </c>
      <c r="B3037" s="3" t="inlineStr">
        <is>
          <t>계획관리지역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45000</v>
      </c>
      <c r="G3037" s="4" t="n">
        <v>4691</v>
      </c>
      <c r="H3037" s="4" t="n">
        <v>1419</v>
      </c>
      <c r="I3037" s="5" t="n">
        <v>31.7</v>
      </c>
      <c r="J3037" s="5" t="n">
        <v>15.2</v>
      </c>
      <c r="K3037" s="3" t="inlineStr">
        <is>
          <t>nan</t>
        </is>
      </c>
      <c r="L3037" s="6">
        <f>HYPERLINK("https://fin.land.naver.com/articles/2655626796", "매물Link")</f>
        <v/>
      </c>
      <c r="M3037" s="6">
        <f>HYPERLINK("https://map.naver.com/p/search/전의면 신정리 62-2", "지도Link")</f>
        <v/>
      </c>
      <c r="N3037" s="6">
        <f>HYPERLINK("http://www.eum.go.kr/web/ar/lu/luLandDet.jsp?pnu=3611037028100620002&amp;isNoScr=script&amp;mode=search", "토지이음")</f>
        <v/>
      </c>
      <c r="O3037" s="3" t="inlineStr">
        <is>
          <t>시티프라디움</t>
        </is>
      </c>
      <c r="P3037" s="4" t="n">
        <v>1</v>
      </c>
      <c r="Q3037" s="4" t="n">
        <v>3468</v>
      </c>
      <c r="R3037" s="3" t="inlineStr">
        <is>
          <t>보전관리지역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전의면 신정리 659</t>
        </is>
      </c>
      <c r="B3038" s="3" t="inlineStr">
        <is>
          <t>계획관리지역</t>
        </is>
      </c>
      <c r="C3038" s="3" t="inlineStr">
        <is>
          <t>공장용지</t>
        </is>
      </c>
      <c r="D3038" s="3" t="inlineStr">
        <is>
          <t>공장용지</t>
        </is>
      </c>
      <c r="E3038" s="3" t="inlineStr">
        <is>
          <t>매매</t>
        </is>
      </c>
      <c r="F3038" s="4" t="n">
        <v>1895000</v>
      </c>
      <c r="G3038" s="4" t="n">
        <v>41765</v>
      </c>
      <c r="H3038" s="4" t="n">
        <v>12634</v>
      </c>
      <c r="I3038" s="5" t="n">
        <v>150</v>
      </c>
      <c r="J3038" s="5" t="n">
        <v>74.09999999999999</v>
      </c>
      <c r="K3038" s="3" t="inlineStr">
        <is>
          <t>2차선 접한 총 10필지로 공장 및 대형물류센터로 적극추천</t>
        </is>
      </c>
      <c r="L3038" s="6">
        <f>HYPERLINK("https://fin.land.naver.com/articles/2651980261", "매물Link")</f>
        <v/>
      </c>
      <c r="M3038" s="6">
        <f>HYPERLINK("https://map.naver.com/p/search/전의면 신정리 659", "지도Link")</f>
        <v/>
      </c>
      <c r="N3038" s="6">
        <f>HYPERLINK("http://www.eum.go.kr/web/ar/lu/luLandDet.jsp?pnu=3611037028106590000&amp;isNoScr=script&amp;mode=search", "토지이음")</f>
        <v/>
      </c>
      <c r="O3038" s="3" t="inlineStr">
        <is>
          <t>금화랜드</t>
        </is>
      </c>
      <c r="P3038" s="4" t="n">
        <v>1</v>
      </c>
      <c r="Q3038" s="4" t="n">
        <v>4090.9</v>
      </c>
      <c r="R3038" s="3" t="inlineStr">
        <is>
          <t>지정되지않음</t>
        </is>
      </c>
      <c r="S3038" s="3" t="inlineStr">
        <is>
          <t>공업나지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전의면 신정리 660</t>
        </is>
      </c>
      <c r="B3039" s="3" t="inlineStr">
        <is>
          <t>계획관리지역</t>
        </is>
      </c>
      <c r="C3039" s="3" t="inlineStr">
        <is>
          <t>공장용지</t>
        </is>
      </c>
      <c r="D3039" s="3" t="inlineStr">
        <is>
          <t>공장용지</t>
        </is>
      </c>
      <c r="E3039" s="3" t="inlineStr">
        <is>
          <t>매매</t>
        </is>
      </c>
      <c r="F3039" s="4" t="n">
        <v>555000</v>
      </c>
      <c r="G3039" s="4" t="n">
        <v>12228</v>
      </c>
      <c r="H3039" s="4" t="n">
        <v>3699</v>
      </c>
      <c r="I3039" s="5" t="n">
        <v>150</v>
      </c>
      <c r="J3039" s="5" t="n">
        <v>74.09999999999999</v>
      </c>
      <c r="K3039" s="3" t="inlineStr">
        <is>
          <t>세종시 권역 2차선접한 계획관리지역,공장용지로 조성된곳,대형공장추천</t>
        </is>
      </c>
      <c r="L3039" s="6">
        <f>HYPERLINK("https://fin.land.naver.com/articles/2653576524", "매물Link")</f>
        <v/>
      </c>
      <c r="M3039" s="6">
        <f>HYPERLINK("https://map.naver.com/p/search/전의면 신정리 660", "지도Link")</f>
        <v/>
      </c>
      <c r="N3039" s="6">
        <f>HYPERLINK("http://www.eum.go.kr/web/ar/lu/luLandDet.jsp?pnu=3611037028106600000&amp;isNoScr=script&amp;mode=search", "토지이음")</f>
        <v/>
      </c>
      <c r="O3039" s="3" t="inlineStr">
        <is>
          <t>(주)미르</t>
        </is>
      </c>
      <c r="P3039" s="4" t="n">
        <v>3</v>
      </c>
      <c r="Q3039" s="4" t="n">
        <v>3057</v>
      </c>
      <c r="R3039" s="3" t="inlineStr">
        <is>
          <t>지정되지않음</t>
        </is>
      </c>
      <c r="S3039" s="3" t="inlineStr">
        <is>
          <t>공업나지</t>
        </is>
      </c>
      <c r="T3039" s="3" t="inlineStr">
        <is>
          <t>평지</t>
        </is>
      </c>
      <c r="U3039" s="3" t="inlineStr">
        <is>
          <t>사다리형</t>
        </is>
      </c>
      <c r="V3039" s="3" t="inlineStr">
        <is>
          <t>중로한면</t>
        </is>
      </c>
    </row>
    <row r="3040">
      <c r="A3040" s="3" t="inlineStr">
        <is>
          <t>전의면 신정리 661</t>
        </is>
      </c>
      <c r="B3040" s="3" t="inlineStr">
        <is>
          <t>계획관리지역</t>
        </is>
      </c>
      <c r="C3040" s="3" t="inlineStr">
        <is>
          <t>공장용지</t>
        </is>
      </c>
      <c r="D3040" s="3" t="inlineStr">
        <is>
          <t>공장용지</t>
        </is>
      </c>
      <c r="E3040" s="3" t="inlineStr">
        <is>
          <t>매매</t>
        </is>
      </c>
      <c r="F3040" s="4" t="n">
        <v>555000</v>
      </c>
      <c r="G3040" s="4" t="n">
        <v>12228</v>
      </c>
      <c r="H3040" s="4" t="n">
        <v>3699</v>
      </c>
      <c r="I3040" s="5" t="n">
        <v>150</v>
      </c>
      <c r="J3040" s="5" t="n">
        <v>75.59999999999999</v>
      </c>
      <c r="K3040" s="3" t="inlineStr">
        <is>
          <t>세종 전의면 계획관리내 공장용지 매매</t>
        </is>
      </c>
      <c r="L3040" s="6">
        <f>HYPERLINK("https://fin.land.naver.com/articles/2656582639", "매물Link")</f>
        <v/>
      </c>
      <c r="M3040" s="6">
        <f>HYPERLINK("https://map.naver.com/p/search/전의면 신정리 661", "지도Link")</f>
        <v/>
      </c>
      <c r="N3040" s="6">
        <f>HYPERLINK("http://www.eum.go.kr/web/ar/lu/luLandDet.jsp?pnu=3611037028106610000&amp;isNoScr=script&amp;mode=search", "토지이음")</f>
        <v/>
      </c>
      <c r="O3040" s="3" t="inlineStr">
        <is>
          <t>SK랜드</t>
        </is>
      </c>
      <c r="P3040" s="4" t="n">
        <v>1</v>
      </c>
      <c r="Q3040" s="4" t="n">
        <v>3057</v>
      </c>
      <c r="R3040" s="3" t="inlineStr">
        <is>
          <t>지정되지않음</t>
        </is>
      </c>
      <c r="S3040" s="3" t="inlineStr">
        <is>
          <t>공업나지</t>
        </is>
      </c>
      <c r="T3040" s="3" t="inlineStr">
        <is>
          <t>평지</t>
        </is>
      </c>
      <c r="U3040" s="3" t="inlineStr">
        <is>
          <t>가로장방</t>
        </is>
      </c>
      <c r="V3040" s="3" t="inlineStr">
        <is>
          <t>중로각지</t>
        </is>
      </c>
    </row>
    <row r="3041">
      <c r="A3041" s="3" t="inlineStr">
        <is>
          <t>전의면 신정리 663</t>
        </is>
      </c>
      <c r="B3041" s="3" t="inlineStr">
        <is>
          <t>계획관리지역</t>
        </is>
      </c>
      <c r="C3041" s="3" t="inlineStr">
        <is>
          <t>공장용지</t>
        </is>
      </c>
      <c r="D3041" s="3" t="inlineStr">
        <is>
          <t>공장용지</t>
        </is>
      </c>
      <c r="E3041" s="3" t="inlineStr">
        <is>
          <t>매매</t>
        </is>
      </c>
      <c r="F3041" s="4" t="n">
        <v>1895000</v>
      </c>
      <c r="G3041" s="4" t="n">
        <v>41765</v>
      </c>
      <c r="H3041" s="4" t="n">
        <v>12634</v>
      </c>
      <c r="I3041" s="5" t="n">
        <v>150</v>
      </c>
      <c r="J3041" s="5" t="n">
        <v>74.09999999999999</v>
      </c>
      <c r="K3041" s="3" t="inlineStr">
        <is>
          <t>세종 전의면 계획관리내 대형 공장용지 매매</t>
        </is>
      </c>
      <c r="L3041" s="6">
        <f>HYPERLINK("https://fin.land.naver.com/articles/2656577091", "매물Link")</f>
        <v/>
      </c>
      <c r="M3041" s="6">
        <f>HYPERLINK("https://map.naver.com/p/search/전의면 신정리 663", "지도Link")</f>
        <v/>
      </c>
      <c r="N3041" s="6">
        <f>HYPERLINK("http://www.eum.go.kr/web/ar/lu/luLandDet.jsp?pnu=3611037028106630000&amp;isNoScr=script&amp;mode=search", "토지이음")</f>
        <v/>
      </c>
      <c r="O3041" s="3" t="inlineStr">
        <is>
          <t>SK랜드</t>
        </is>
      </c>
      <c r="P3041" s="4" t="n">
        <v>1</v>
      </c>
      <c r="Q3041" s="4" t="n">
        <v>3057</v>
      </c>
      <c r="R3041" s="3" t="inlineStr">
        <is>
          <t>지정되지않음</t>
        </is>
      </c>
      <c r="S3041" s="3" t="inlineStr">
        <is>
          <t>공업나지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전의면 신정리 665</t>
        </is>
      </c>
      <c r="B3042" s="3" t="inlineStr">
        <is>
          <t>계획관리지역</t>
        </is>
      </c>
      <c r="C3042" s="3" t="inlineStr">
        <is>
          <t>공장용지</t>
        </is>
      </c>
      <c r="D3042" s="3" t="inlineStr">
        <is>
          <t>공장용지</t>
        </is>
      </c>
      <c r="E3042" s="3" t="inlineStr">
        <is>
          <t>매매</t>
        </is>
      </c>
      <c r="F3042" s="4" t="n">
        <v>1895000</v>
      </c>
      <c r="G3042" s="4" t="n">
        <v>41765</v>
      </c>
      <c r="H3042" s="4" t="n">
        <v>12634</v>
      </c>
      <c r="I3042" s="5" t="n">
        <v>150</v>
      </c>
      <c r="J3042" s="5" t="n">
        <v>74.09999999999999</v>
      </c>
      <c r="K3042" s="3" t="inlineStr">
        <is>
          <t>세종시 전의면 2차선 접한 계획관리지역.공장용지로 조성된 곳</t>
        </is>
      </c>
      <c r="L3042" s="6">
        <f>HYPERLINK("https://fin.land.naver.com/articles/2656671375", "매물Link")</f>
        <v/>
      </c>
      <c r="M3042" s="6">
        <f>HYPERLINK("https://map.naver.com/p/search/전의면 신정리 665", "지도Link")</f>
        <v/>
      </c>
      <c r="N3042" s="6">
        <f>HYPERLINK("http://www.eum.go.kr/web/ar/lu/luLandDet.jsp?pnu=3611037028106650000&amp;isNoScr=script&amp;mode=search", "토지이음")</f>
        <v/>
      </c>
      <c r="O3042" s="3" t="inlineStr">
        <is>
          <t>(주)미르</t>
        </is>
      </c>
      <c r="P3042" s="4" t="n">
        <v>1</v>
      </c>
      <c r="Q3042" s="4" t="n">
        <v>4044.1</v>
      </c>
      <c r="R3042" s="3" t="inlineStr">
        <is>
          <t>지정되지않음</t>
        </is>
      </c>
      <c r="S3042" s="3" t="inlineStr">
        <is>
          <t>공업나지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중로한면</t>
        </is>
      </c>
    </row>
    <row r="3043">
      <c r="A3043" s="3" t="inlineStr">
        <is>
          <t>전의면 신정리 산105-1</t>
        </is>
      </c>
      <c r="B3043" s="3" t="inlineStr">
        <is>
          <t>농림지역</t>
        </is>
      </c>
      <c r="C3043" s="3" t="inlineStr">
        <is>
          <t>임야</t>
        </is>
      </c>
      <c r="D3043" s="3" t="inlineStr">
        <is>
          <t>임야</t>
        </is>
      </c>
      <c r="E3043" s="3" t="inlineStr">
        <is>
          <t>매매</t>
        </is>
      </c>
      <c r="F3043" s="4" t="n">
        <v>145000</v>
      </c>
      <c r="G3043" s="4" t="n">
        <v>9635</v>
      </c>
      <c r="H3043" s="4" t="n">
        <v>2915</v>
      </c>
      <c r="I3043" s="5" t="n">
        <v>49.7</v>
      </c>
      <c r="J3043" s="5" t="n">
        <v>2.6</v>
      </c>
      <c r="K3043" s="3" t="inlineStr">
        <is>
          <t>평당50, 전의일반산단 5분, 전의역 5분거리</t>
        </is>
      </c>
      <c r="L3043" s="6">
        <f>HYPERLINK("https://fin.land.naver.com/articles/2654232245", "매물Link")</f>
        <v/>
      </c>
      <c r="M3043" s="6">
        <f>HYPERLINK("https://map.naver.com/p/search/전의면 신정리 산105-1", "지도Link")</f>
        <v/>
      </c>
      <c r="N3043" s="6">
        <f>HYPERLINK("http://www.eum.go.kr/web/ar/lu/luLandDet.jsp?pnu=3611037028201050001&amp;isNoScr=script&amp;mode=search", "토지이음")</f>
        <v/>
      </c>
      <c r="O3043" s="3" t="inlineStr">
        <is>
          <t>미스터홈즈강남지사</t>
        </is>
      </c>
      <c r="P3043" s="4" t="n">
        <v>1</v>
      </c>
      <c r="Q3043" s="4" t="n">
        <v>7608</v>
      </c>
      <c r="R3043" s="3" t="inlineStr">
        <is>
          <t>계획관리지역</t>
        </is>
      </c>
      <c r="S3043" s="3" t="inlineStr">
        <is>
          <t>자연림</t>
        </is>
      </c>
      <c r="T3043" s="3" t="inlineStr">
        <is>
          <t>완경사</t>
        </is>
      </c>
      <c r="U3043" s="3" t="inlineStr">
        <is>
          <t>부정형</t>
        </is>
      </c>
      <c r="V3043" s="3" t="inlineStr">
        <is>
          <t>세로한면(가)</t>
        </is>
      </c>
    </row>
    <row r="3044">
      <c r="A3044" s="3" t="inlineStr">
        <is>
          <t>전의면 신흥리 1</t>
        </is>
      </c>
      <c r="B3044" s="3" t="inlineStr">
        <is>
          <t>계획관리지역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28000</v>
      </c>
      <c r="G3044" s="4" t="n">
        <v>418</v>
      </c>
      <c r="H3044" s="4" t="n">
        <v>126</v>
      </c>
      <c r="I3044" s="5" t="n">
        <v>222.2</v>
      </c>
      <c r="J3044" s="5" t="n">
        <v>8.699999999999999</v>
      </c>
      <c r="K3044" s="3" t="inlineStr">
        <is>
          <t>계획관리지역, 도로변 코너각지, 투자기회, 가격 잘 맞춰 보겠습니다</t>
        </is>
      </c>
      <c r="L3044" s="6">
        <f>HYPERLINK("https://fin.land.naver.com/articles/2653005053", "매물Link")</f>
        <v/>
      </c>
      <c r="M3044" s="6">
        <f>HYPERLINK("https://map.naver.com/p/search/전의면 신흥리 1", "지도Link")</f>
        <v/>
      </c>
      <c r="N3044" s="6">
        <f>HYPERLINK("http://www.eum.go.kr/web/ar/lu/luLandDet.jsp?pnu=3611037025100010000&amp;isNoScr=script&amp;mode=search", "토지이음")</f>
        <v/>
      </c>
      <c r="O3044" s="3" t="inlineStr">
        <is>
          <t>OK세종 사무소</t>
        </is>
      </c>
      <c r="P3044" s="4" t="n">
        <v>2</v>
      </c>
      <c r="Q3044" s="4" t="n">
        <v>418</v>
      </c>
      <c r="R3044" s="3" t="inlineStr">
        <is>
          <t>지정되지않음</t>
        </is>
      </c>
      <c r="S3044" s="3" t="inlineStr">
        <is>
          <t>도로등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지정되지않음</t>
        </is>
      </c>
    </row>
    <row r="3045">
      <c r="A3045" s="3" t="inlineStr">
        <is>
          <t>전의면 신흥리 130-2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60000</v>
      </c>
      <c r="G3045" s="4" t="n">
        <v>856</v>
      </c>
      <c r="H3045" s="4" t="n">
        <v>259</v>
      </c>
      <c r="I3045" s="5" t="n">
        <v>231.7</v>
      </c>
      <c r="J3045" s="5" t="n">
        <v>50.7</v>
      </c>
      <c r="K3045" s="3" t="inlineStr">
        <is>
          <t>투자가치 좋은 계획관리 지역, 좋은기회</t>
        </is>
      </c>
      <c r="L3045" s="6">
        <f>HYPERLINK("https://fin.land.naver.com/articles/2651117615", "매물Link")</f>
        <v/>
      </c>
      <c r="M3045" s="6">
        <f>HYPERLINK("https://map.naver.com/p/search/전의면 신흥리 130-2", "지도Link")</f>
        <v/>
      </c>
      <c r="N3045" s="6">
        <f>HYPERLINK("http://www.eum.go.kr/web/ar/lu/luLandDet.jsp?pnu=3611037025101300002&amp;isNoScr=script&amp;mode=search", "토지이음")</f>
        <v/>
      </c>
      <c r="O3045" s="3" t="inlineStr">
        <is>
          <t>OK세종</t>
        </is>
      </c>
      <c r="P3045" s="4" t="n">
        <v>1</v>
      </c>
      <c r="Q3045" s="4" t="n">
        <v>856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소로한면</t>
        </is>
      </c>
    </row>
    <row r="3046">
      <c r="A3046" s="3" t="inlineStr">
        <is>
          <t>전의면 신흥리 159-3</t>
        </is>
      </c>
      <c r="B3046" s="3" t="inlineStr">
        <is>
          <t>계획관리지역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38760</v>
      </c>
      <c r="G3046" s="4" t="n">
        <v>1068</v>
      </c>
      <c r="H3046" s="4" t="n">
        <v>323</v>
      </c>
      <c r="I3046" s="5" t="n">
        <v>120</v>
      </c>
      <c r="J3046" s="5" t="n">
        <v>42</v>
      </c>
      <c r="K3046" s="3" t="inlineStr">
        <is>
          <t>전의 면소재지 인접한 투자용 매물</t>
        </is>
      </c>
      <c r="L3046" s="6">
        <f>HYPERLINK("https://fin.land.naver.com/articles/2652096267", "매물Link")</f>
        <v/>
      </c>
      <c r="M3046" s="6">
        <f>HYPERLINK("https://map.naver.com/p/search/전의면 신흥리 159-3", "지도Link")</f>
        <v/>
      </c>
      <c r="N3046" s="6">
        <f>HYPERLINK("http://www.eum.go.kr/web/ar/lu/luLandDet.jsp?pnu=3611037025101590003&amp;isNoScr=script&amp;mode=search", "토지이음")</f>
        <v/>
      </c>
      <c r="O3046" s="3" t="inlineStr">
        <is>
          <t>지호주식회사</t>
        </is>
      </c>
      <c r="P3046" s="4" t="n">
        <v>1</v>
      </c>
      <c r="Q3046" s="4" t="n">
        <v>995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완경사</t>
        </is>
      </c>
      <c r="U3046" s="3" t="inlineStr">
        <is>
          <t>부정형</t>
        </is>
      </c>
      <c r="V3046" s="3" t="inlineStr">
        <is>
          <t>세로한면(가)</t>
        </is>
      </c>
    </row>
    <row r="3047">
      <c r="A3047" s="3" t="inlineStr">
        <is>
          <t>전의면 신흥리 56</t>
        </is>
      </c>
      <c r="B3047" s="3" t="inlineStr">
        <is>
          <t>계획관리지역</t>
        </is>
      </c>
      <c r="C3047" s="3" t="inlineStr">
        <is>
          <t>답</t>
        </is>
      </c>
      <c r="D3047" s="3" t="inlineStr">
        <is>
          <t>답</t>
        </is>
      </c>
      <c r="E3047" s="3" t="inlineStr">
        <is>
          <t>매매</t>
        </is>
      </c>
      <c r="F3047" s="4" t="n">
        <v>160000</v>
      </c>
      <c r="G3047" s="4" t="n">
        <v>4111</v>
      </c>
      <c r="H3047" s="4" t="n">
        <v>1244</v>
      </c>
      <c r="I3047" s="5" t="n">
        <v>128.6</v>
      </c>
      <c r="J3047" s="5" t="n">
        <v>26.5</v>
      </c>
      <c r="K3047" s="3" t="inlineStr">
        <is>
          <t>농지은행 임대중 비닐하우스 7동 있음 하천옆 주변토지  불하가능</t>
        </is>
      </c>
      <c r="L3047" s="6">
        <f>HYPERLINK("https://fin.land.naver.com/articles/2654418656", "매물Link")</f>
        <v/>
      </c>
      <c r="M3047" s="6">
        <f>HYPERLINK("https://map.naver.com/p/search/전의면 신흥리 56", "지도Link")</f>
        <v/>
      </c>
      <c r="N3047" s="6">
        <f>HYPERLINK("http://www.eum.go.kr/web/ar/lu/luLandDet.jsp?pnu=3611037025100560000&amp;isNoScr=script&amp;mode=search", "토지이음")</f>
        <v/>
      </c>
      <c r="O3047" s="3" t="inlineStr">
        <is>
          <t>그래그</t>
        </is>
      </c>
      <c r="P3047" s="4" t="n">
        <v>1</v>
      </c>
      <c r="Q3047" s="4" t="n">
        <v>4111</v>
      </c>
      <c r="R3047" s="3" t="inlineStr">
        <is>
          <t>지정되지않음</t>
        </is>
      </c>
      <c r="S3047" s="3" t="inlineStr">
        <is>
          <t>답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맹지</t>
        </is>
      </c>
    </row>
    <row r="3048">
      <c r="A3048" s="3" t="inlineStr">
        <is>
          <t>전의면 신흥리 산3-1</t>
        </is>
      </c>
      <c r="B3048" s="3" t="inlineStr">
        <is>
          <t>계획관리지역</t>
        </is>
      </c>
      <c r="C3048" s="3" t="inlineStr">
        <is>
          <t>임야</t>
        </is>
      </c>
      <c r="D3048" s="3" t="inlineStr">
        <is>
          <t>임야</t>
        </is>
      </c>
      <c r="E3048" s="3" t="inlineStr">
        <is>
          <t>매매</t>
        </is>
      </c>
      <c r="F3048" s="4" t="n">
        <v>18000</v>
      </c>
      <c r="G3048" s="4" t="n">
        <v>1323</v>
      </c>
      <c r="H3048" s="4" t="n">
        <v>400</v>
      </c>
      <c r="I3048" s="5" t="n">
        <v>45</v>
      </c>
      <c r="J3048" s="5" t="n">
        <v>3.7</v>
      </c>
      <c r="K3048" s="3" t="inlineStr">
        <is>
          <t>급매  계획관리,지목상 도로 접함</t>
        </is>
      </c>
      <c r="L3048" s="6">
        <f>HYPERLINK("https://fin.land.naver.com/articles/2650917991", "매물Link")</f>
        <v/>
      </c>
      <c r="M3048" s="6">
        <f>HYPERLINK("https://map.naver.com/p/search/전의면 신흥리 산3-1", "지도Link")</f>
        <v/>
      </c>
      <c r="N3048" s="6">
        <f>HYPERLINK("http://www.eum.go.kr/web/ar/lu/luLandDet.jsp?pnu=3611037025200030001&amp;isNoScr=script&amp;mode=search", "토지이음")</f>
        <v/>
      </c>
      <c r="O3048" s="3" t="inlineStr">
        <is>
          <t>금강이편한</t>
        </is>
      </c>
      <c r="P3048" s="4" t="n">
        <v>1</v>
      </c>
      <c r="Q3048" s="4" t="n">
        <v>1323</v>
      </c>
      <c r="R3048" s="3" t="inlineStr">
        <is>
          <t>지정되지않음</t>
        </is>
      </c>
      <c r="S3048" s="3" t="inlineStr">
        <is>
          <t>자연림</t>
        </is>
      </c>
      <c r="T3048" s="3" t="inlineStr">
        <is>
          <t>급경사</t>
        </is>
      </c>
      <c r="U3048" s="3" t="inlineStr">
        <is>
          <t>사다리형</t>
        </is>
      </c>
      <c r="V3048" s="3" t="inlineStr">
        <is>
          <t>맹지</t>
        </is>
      </c>
    </row>
    <row r="3049">
      <c r="A3049" s="3" t="inlineStr">
        <is>
          <t>전의면 양곡리 207-4</t>
        </is>
      </c>
      <c r="B3049" s="3" t="inlineStr">
        <is>
          <t>계획관리지역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47000</v>
      </c>
      <c r="G3049" s="4" t="n">
        <v>1041</v>
      </c>
      <c r="H3049" s="4" t="n">
        <v>315</v>
      </c>
      <c r="I3049" s="5" t="n">
        <v>149.2</v>
      </c>
      <c r="J3049" s="5" t="n">
        <v>43.5</v>
      </c>
      <c r="K3049" s="3" t="inlineStr">
        <is>
          <t>세종 전의면 계획관리지역 대지.  따뜻한 주거와 텃밭을 가꿀 수 있어요</t>
        </is>
      </c>
      <c r="L3049" s="6">
        <f>HYPERLINK("https://fin.land.naver.com/articles/2656386715", "매물Link")</f>
        <v/>
      </c>
      <c r="M3049" s="6">
        <f>HYPERLINK("https://map.naver.com/p/search/전의면 양곡리 207-4", "지도Link")</f>
        <v/>
      </c>
      <c r="N3049" s="6">
        <f>HYPERLINK("http://www.eum.go.kr/web/ar/lu/luLandDet.jsp?pnu=3611037032102070004&amp;isNoScr=script&amp;mode=search", "토지이음")</f>
        <v/>
      </c>
      <c r="O3049" s="3" t="inlineStr">
        <is>
          <t>OK파라곤</t>
        </is>
      </c>
      <c r="P3049" s="4" t="n">
        <v>1</v>
      </c>
      <c r="Q3049" s="4" t="n">
        <v>1041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세로한면(가)</t>
        </is>
      </c>
    </row>
    <row r="3050">
      <c r="A3050" s="3" t="inlineStr">
        <is>
          <t>전의면 양곡리 218-2</t>
        </is>
      </c>
      <c r="B3050" s="3" t="inlineStr">
        <is>
          <t>계획관리지역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10000</v>
      </c>
      <c r="G3050" s="4" t="n">
        <v>179</v>
      </c>
      <c r="H3050" s="4" t="n">
        <v>54</v>
      </c>
      <c r="I3050" s="5" t="n">
        <v>185.2</v>
      </c>
      <c r="J3050" s="5" t="n">
        <v>42.3</v>
      </c>
      <c r="K3050" s="3" t="inlineStr">
        <is>
          <t>급매. 세종시 1억원대 토지</t>
        </is>
      </c>
      <c r="L3050" s="6">
        <f>HYPERLINK("https://fin.land.naver.com/articles/2651926225", "매물Link")</f>
        <v/>
      </c>
      <c r="M3050" s="6">
        <f>HYPERLINK("https://map.naver.com/p/search/전의면 양곡리 218-2", "지도Link")</f>
        <v/>
      </c>
      <c r="N3050" s="6">
        <f>HYPERLINK("http://www.eum.go.kr/web/ar/lu/luLandDet.jsp?pnu=3611037032102180002&amp;isNoScr=script&amp;mode=search", "토지이음")</f>
        <v/>
      </c>
      <c r="O3050" s="3" t="inlineStr">
        <is>
          <t>강아지풀</t>
        </is>
      </c>
      <c r="P3050" s="4" t="n">
        <v>1</v>
      </c>
      <c r="Q3050" s="4" t="n">
        <v>179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전의면 양곡리 300-2</t>
        </is>
      </c>
      <c r="B3051" s="3" t="inlineStr">
        <is>
          <t>계획관리지역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41000</v>
      </c>
      <c r="G3051" s="4" t="n">
        <v>2654</v>
      </c>
      <c r="H3051" s="4" t="n">
        <v>803</v>
      </c>
      <c r="I3051" s="5" t="n">
        <v>51.1</v>
      </c>
      <c r="J3051" s="5" t="n">
        <v>31.7</v>
      </c>
      <c r="K3051" s="3" t="inlineStr">
        <is>
          <t>세종미래산단 인근 계획관리지역 장기보유형 농지</t>
        </is>
      </c>
      <c r="L3051" s="6">
        <f>HYPERLINK("https://fin.land.naver.com/articles/2655067876", "매물Link")</f>
        <v/>
      </c>
      <c r="M3051" s="6">
        <f>HYPERLINK("https://map.naver.com/p/search/전의면 양곡리 300-2", "지도Link")</f>
        <v/>
      </c>
      <c r="N3051" s="6">
        <f>HYPERLINK("http://www.eum.go.kr/web/ar/lu/luLandDet.jsp?pnu=3611037032103000002&amp;isNoScr=script&amp;mode=search", "토지이음")</f>
        <v/>
      </c>
      <c r="O3051" s="3" t="inlineStr">
        <is>
          <t>세종소담황금</t>
        </is>
      </c>
      <c r="P3051" s="4" t="n">
        <v>1</v>
      </c>
      <c r="Q3051" s="4" t="n">
        <v>2655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전의면 양곡리 306</t>
        </is>
      </c>
      <c r="B3052" s="3" t="inlineStr">
        <is>
          <t>계획관리지역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126400</v>
      </c>
      <c r="G3052" s="4" t="n">
        <v>2019</v>
      </c>
      <c r="H3052" s="4" t="n">
        <v>611</v>
      </c>
      <c r="I3052" s="5" t="n">
        <v>206.9</v>
      </c>
      <c r="J3052" s="5" t="n">
        <v>26</v>
      </c>
      <c r="K3052" s="3" t="inlineStr">
        <is>
          <t>세종시 전의면 양곡리 토지 매매 세종미래산업단지 앞 4차선접 2,019㎡</t>
        </is>
      </c>
      <c r="L3052" s="6">
        <f>HYPERLINK("https://fin.land.naver.com/articles/2650832779", "매물Link")</f>
        <v/>
      </c>
      <c r="M3052" s="6">
        <f>HYPERLINK("https://map.naver.com/p/search/전의면 양곡리 306", "지도Link")</f>
        <v/>
      </c>
      <c r="N3052" s="6">
        <f>HYPERLINK("http://www.eum.go.kr/web/ar/lu/luLandDet.jsp?pnu=3611037032103060000&amp;isNoScr=script&amp;mode=search", "토지이음")</f>
        <v/>
      </c>
      <c r="O3052" s="3" t="inlineStr">
        <is>
          <t>세종</t>
        </is>
      </c>
      <c r="P3052" s="4" t="n">
        <v>1</v>
      </c>
      <c r="Q3052" s="4" t="n">
        <v>2019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세로한면(불)</t>
        </is>
      </c>
    </row>
    <row r="3053">
      <c r="A3053" s="3" t="inlineStr">
        <is>
          <t>전의면 양곡리 368-2</t>
        </is>
      </c>
      <c r="B3053" s="3" t="inlineStr">
        <is>
          <t>생산관리지역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33000</v>
      </c>
      <c r="G3053" s="4" t="n">
        <v>1361</v>
      </c>
      <c r="H3053" s="4" t="n">
        <v>412</v>
      </c>
      <c r="I3053" s="5" t="n">
        <v>80.09999999999999</v>
      </c>
      <c r="J3053" s="5" t="n">
        <v>27.9</v>
      </c>
      <c r="K3053" s="3" t="inlineStr">
        <is>
          <t>nan</t>
        </is>
      </c>
      <c r="L3053" s="6">
        <f>HYPERLINK("https://fin.land.naver.com/articles/2651511445", "매물Link")</f>
        <v/>
      </c>
      <c r="M3053" s="6">
        <f>HYPERLINK("https://map.naver.com/p/search/전의면 양곡리 368-2", "지도Link")</f>
        <v/>
      </c>
      <c r="N3053" s="6">
        <f>HYPERLINK("http://www.eum.go.kr/web/ar/lu/luLandDet.jsp?pnu=3611037032103680002&amp;isNoScr=script&amp;mode=search", "토지이음")</f>
        <v/>
      </c>
      <c r="O3053" s="3" t="inlineStr">
        <is>
          <t>수자인</t>
        </is>
      </c>
      <c r="P3053" s="4" t="n">
        <v>1</v>
      </c>
      <c r="Q3053" s="4" t="n">
        <v>1361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세로한면(가)</t>
        </is>
      </c>
    </row>
    <row r="3054">
      <c r="A3054" s="3" t="inlineStr">
        <is>
          <t>전의면 양곡리 368-4</t>
        </is>
      </c>
      <c r="B3054" s="3" t="inlineStr">
        <is>
          <t>생산관리지역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6000</v>
      </c>
      <c r="G3054" s="4" t="n">
        <v>244</v>
      </c>
      <c r="H3054" s="4" t="n">
        <v>74</v>
      </c>
      <c r="I3054" s="5" t="n">
        <v>81.09999999999999</v>
      </c>
      <c r="J3054" s="5" t="n">
        <v>27.9</v>
      </c>
      <c r="K3054" s="3" t="inlineStr">
        <is>
          <t>소액으로 주말 농장, 농막. 상하수도 있음</t>
        </is>
      </c>
      <c r="L3054" s="6">
        <f>HYPERLINK("https://fin.land.naver.com/articles/2654002744", "매물Link")</f>
        <v/>
      </c>
      <c r="M3054" s="6">
        <f>HYPERLINK("https://map.naver.com/p/search/전의면 양곡리 368-4", "지도Link")</f>
        <v/>
      </c>
      <c r="N3054" s="6">
        <f>HYPERLINK("http://www.eum.go.kr/web/ar/lu/luLandDet.jsp?pnu=3611037032103680004&amp;isNoScr=script&amp;mode=search", "토지이음")</f>
        <v/>
      </c>
      <c r="O3054" s="3" t="inlineStr">
        <is>
          <t>세종이삭</t>
        </is>
      </c>
      <c r="P3054" s="4" t="n">
        <v>1</v>
      </c>
      <c r="Q3054" s="4" t="n">
        <v>244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부정형</t>
        </is>
      </c>
      <c r="V3054" s="3" t="inlineStr">
        <is>
          <t>세로한면(가)</t>
        </is>
      </c>
    </row>
    <row r="3055">
      <c r="A3055" s="3" t="inlineStr">
        <is>
          <t>전의면 양곡리 381-2</t>
        </is>
      </c>
      <c r="B3055" s="3" t="inlineStr">
        <is>
          <t>계획관리지역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45000</v>
      </c>
      <c r="G3055" s="4" t="n">
        <v>1298</v>
      </c>
      <c r="H3055" s="4" t="n">
        <v>393</v>
      </c>
      <c r="I3055" s="5" t="n">
        <v>114.5</v>
      </c>
      <c r="J3055" s="5" t="n">
        <v>46.6</v>
      </c>
      <c r="K3055" s="3" t="inlineStr">
        <is>
          <t>세종시 2차선도로  계획관리 토지  시세대비 급 매매  가격조율</t>
        </is>
      </c>
      <c r="L3055" s="6">
        <f>HYPERLINK("https://fin.land.naver.com/articles/2650927977", "매물Link")</f>
        <v/>
      </c>
      <c r="M3055" s="6">
        <f>HYPERLINK("https://map.naver.com/p/search/전의면 양곡리 381-2", "지도Link")</f>
        <v/>
      </c>
      <c r="N3055" s="6">
        <f>HYPERLINK("http://www.eum.go.kr/web/ar/lu/luLandDet.jsp?pnu=3611037032103810002&amp;isNoScr=script&amp;mode=search", "토지이음")</f>
        <v/>
      </c>
      <c r="O3055" s="3" t="inlineStr">
        <is>
          <t>연서으뜸</t>
        </is>
      </c>
      <c r="P3055" s="4" t="n">
        <v>2</v>
      </c>
      <c r="Q3055" s="4" t="n">
        <v>648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완경사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전의면 양곡리 381-2</t>
        </is>
      </c>
      <c r="B3056" s="3" t="inlineStr">
        <is>
          <t>계획관리지역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45000</v>
      </c>
      <c r="G3056" s="4" t="n">
        <v>1296</v>
      </c>
      <c r="H3056" s="4" t="n">
        <v>392</v>
      </c>
      <c r="I3056" s="5" t="n">
        <v>114.8</v>
      </c>
      <c r="J3056" s="5" t="n">
        <v>46.6</v>
      </c>
      <c r="K3056" s="3" t="inlineStr">
        <is>
          <t>도로변 각지로 계획관리지역 개발 등 다양업 추천</t>
        </is>
      </c>
      <c r="L3056" s="6">
        <f>HYPERLINK("https://fin.land.naver.com/articles/2655257474", "매물Link")</f>
        <v/>
      </c>
      <c r="M3056" s="6">
        <f>HYPERLINK("https://map.naver.com/p/search/전의면 양곡리 381-2", "지도Link")</f>
        <v/>
      </c>
      <c r="N3056" s="6">
        <f>HYPERLINK("http://www.eum.go.kr/web/ar/lu/luLandDet.jsp?pnu=3611037032103810002&amp;isNoScr=script&amp;mode=search", "토지이음")</f>
        <v/>
      </c>
      <c r="O3056" s="3" t="inlineStr">
        <is>
          <t>이서방</t>
        </is>
      </c>
      <c r="P3056" s="4" t="n">
        <v>1</v>
      </c>
      <c r="Q3056" s="4" t="n">
        <v>648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완경사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전의면 양곡리 40-5</t>
        </is>
      </c>
      <c r="B3057" s="3" t="inlineStr">
        <is>
          <t>생산관리지역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30000</v>
      </c>
      <c r="G3057" s="4" t="n">
        <v>1058</v>
      </c>
      <c r="H3057" s="4" t="n">
        <v>320</v>
      </c>
      <c r="I3057" s="5" t="n">
        <v>93.8</v>
      </c>
      <c r="J3057" s="5" t="n">
        <v>23.4</v>
      </c>
      <c r="K3057" s="3" t="inlineStr">
        <is>
          <t>도시 인접 생산관리 농지. 주택지로도 좋아요</t>
        </is>
      </c>
      <c r="L3057" s="6">
        <f>HYPERLINK("https://fin.land.naver.com/articles/2651151465", "매물Link")</f>
        <v/>
      </c>
      <c r="M3057" s="6">
        <f>HYPERLINK("https://map.naver.com/p/search/전의면 양곡리 40-5", "지도Link")</f>
        <v/>
      </c>
      <c r="N3057" s="6">
        <f>HYPERLINK("http://www.eum.go.kr/web/ar/lu/luLandDet.jsp?pnu=3611037032100400005&amp;isNoScr=script&amp;mode=search", "토지이음")</f>
        <v/>
      </c>
      <c r="O3057" s="3" t="inlineStr">
        <is>
          <t>미스터홈즈강남지사</t>
        </is>
      </c>
      <c r="P3057" s="4" t="n">
        <v>1</v>
      </c>
      <c r="Q3057" s="4" t="n">
        <v>1058</v>
      </c>
      <c r="R3057" s="3" t="inlineStr">
        <is>
          <t>지정되지않음</t>
        </is>
      </c>
      <c r="S3057" s="3" t="inlineStr">
        <is>
          <t>답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세로한면(가)</t>
        </is>
      </c>
    </row>
    <row r="3058">
      <c r="A3058" s="3" t="inlineStr">
        <is>
          <t>전의면 양곡리 40-5</t>
        </is>
      </c>
      <c r="B3058" s="3" t="inlineStr">
        <is>
          <t>생산관리지역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30000</v>
      </c>
      <c r="G3058" s="4" t="n">
        <v>1057</v>
      </c>
      <c r="H3058" s="4" t="n">
        <v>320</v>
      </c>
      <c r="I3058" s="5" t="n">
        <v>93.8</v>
      </c>
      <c r="J3058" s="5" t="n">
        <v>23.4</v>
      </c>
      <c r="K3058" s="3" t="inlineStr">
        <is>
          <t>세종시 전의면 양곡리 농막과 유실수 포함 토지 매매</t>
        </is>
      </c>
      <c r="L3058" s="6">
        <f>HYPERLINK("https://fin.land.naver.com/articles/2652805726", "매물Link")</f>
        <v/>
      </c>
      <c r="M3058" s="6">
        <f>HYPERLINK("https://map.naver.com/p/search/전의면 양곡리 40-5", "지도Link")</f>
        <v/>
      </c>
      <c r="N3058" s="6">
        <f>HYPERLINK("http://www.eum.go.kr/web/ar/lu/luLandDet.jsp?pnu=3611037032100400005&amp;isNoScr=script&amp;mode=search", "토지이음")</f>
        <v/>
      </c>
      <c r="O3058" s="3" t="inlineStr">
        <is>
          <t>뉴스카이</t>
        </is>
      </c>
      <c r="P3058" s="4" t="n">
        <v>1</v>
      </c>
      <c r="Q3058" s="4" t="n">
        <v>1058</v>
      </c>
      <c r="R3058" s="3" t="inlineStr">
        <is>
          <t>지정되지않음</t>
        </is>
      </c>
      <c r="S3058" s="3" t="inlineStr">
        <is>
          <t>답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전의면 양곡리 573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70000</v>
      </c>
      <c r="G3059" s="4" t="n">
        <v>954</v>
      </c>
      <c r="H3059" s="4" t="n">
        <v>289</v>
      </c>
      <c r="I3059" s="5" t="n">
        <v>242.2</v>
      </c>
      <c r="J3059" s="5" t="n">
        <v>124.6</v>
      </c>
      <c r="K3059" s="3" t="inlineStr">
        <is>
          <t>대로변 광고효과 좋음,  미래산업단지 지원용지 ,  투자추천</t>
        </is>
      </c>
      <c r="L3059" s="6">
        <f>HYPERLINK("https://fin.land.naver.com/articles/2652607353", "매물Link")</f>
        <v/>
      </c>
      <c r="M3059" s="6">
        <f>HYPERLINK("https://map.naver.com/p/search/전의면 양곡리 573", "지도Link")</f>
        <v/>
      </c>
      <c r="N3059" s="6">
        <f>HYPERLINK("http://www.eum.go.kr/web/ar/lu/luLandDet.jsp?pnu=3611037032105730000&amp;isNoScr=script&amp;mode=search", "토지이음")</f>
        <v/>
      </c>
      <c r="O3059" s="3" t="inlineStr">
        <is>
          <t>세종보물</t>
        </is>
      </c>
      <c r="P3059" s="4" t="n">
        <v>1</v>
      </c>
      <c r="Q3059" s="4" t="n">
        <v>954.6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정방형</t>
        </is>
      </c>
      <c r="V3059" s="3" t="inlineStr">
        <is>
          <t>중로한면</t>
        </is>
      </c>
    </row>
    <row r="3060">
      <c r="A3060" s="3" t="inlineStr">
        <is>
          <t>전의면 영당리 11-4</t>
        </is>
      </c>
      <c r="B3060" s="3" t="inlineStr">
        <is>
          <t>계획관리지역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9700</v>
      </c>
      <c r="G3060" s="4" t="n">
        <v>320</v>
      </c>
      <c r="H3060" s="4" t="n">
        <v>97</v>
      </c>
      <c r="I3060" s="5" t="n">
        <v>100</v>
      </c>
      <c r="J3060" s="5" t="n">
        <v>22.6</v>
      </c>
      <c r="K3060" s="3" t="inlineStr">
        <is>
          <t>nan</t>
        </is>
      </c>
      <c r="L3060" s="6">
        <f>HYPERLINK("https://fin.land.naver.com/articles/2654422055", "매물Link")</f>
        <v/>
      </c>
      <c r="M3060" s="6">
        <f>HYPERLINK("https://map.naver.com/p/search/전의면 영당리 11-4", "지도Link")</f>
        <v/>
      </c>
      <c r="N3060" s="6">
        <f>HYPERLINK("http://www.eum.go.kr/web/ar/lu/luLandDet.jsp?pnu=3611037031100110004&amp;isNoScr=script&amp;mode=search", "토지이음")</f>
        <v/>
      </c>
      <c r="O3060" s="3" t="inlineStr">
        <is>
          <t>그래그</t>
        </is>
      </c>
      <c r="P3060" s="4" t="n">
        <v>1</v>
      </c>
      <c r="Q3060" s="4" t="n">
        <v>320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전의면 영당리 118-1</t>
        </is>
      </c>
      <c r="B3061" s="3" t="inlineStr">
        <is>
          <t>계획관리지역</t>
        </is>
      </c>
      <c r="C3061" s="3" t="inlineStr">
        <is>
          <t>공장용지</t>
        </is>
      </c>
      <c r="D3061" s="3" t="inlineStr">
        <is>
          <t>공장용지</t>
        </is>
      </c>
      <c r="E3061" s="3" t="inlineStr">
        <is>
          <t>매매</t>
        </is>
      </c>
      <c r="F3061" s="4" t="n">
        <v>85000</v>
      </c>
      <c r="G3061" s="4" t="n">
        <v>1894</v>
      </c>
      <c r="H3061" s="4" t="n">
        <v>573</v>
      </c>
      <c r="I3061" s="5" t="n">
        <v>148.3</v>
      </c>
      <c r="J3061" s="5" t="n">
        <v>39.2</v>
      </c>
      <c r="K3061" s="3" t="inlineStr">
        <is>
          <t>전의면 영당리 계획관리 공장용지, 6m 도로 접, 주변 산업단지 개발</t>
        </is>
      </c>
      <c r="L3061" s="6">
        <f>HYPERLINK("https://fin.land.naver.com/articles/2654029266", "매물Link")</f>
        <v/>
      </c>
      <c r="M3061" s="6">
        <f>HYPERLINK("https://map.naver.com/p/search/전의면 영당리 118-1", "지도Link")</f>
        <v/>
      </c>
      <c r="N3061" s="6">
        <f>HYPERLINK("http://www.eum.go.kr/web/ar/lu/luLandDet.jsp?pnu=3611037031101180001&amp;isNoScr=script&amp;mode=search", "토지이음")</f>
        <v/>
      </c>
      <c r="O3061" s="3" t="inlineStr">
        <is>
          <t>스카이</t>
        </is>
      </c>
      <c r="P3061" s="4" t="n">
        <v>1</v>
      </c>
      <c r="Q3061" s="4" t="n">
        <v>1795</v>
      </c>
      <c r="R3061" s="3" t="inlineStr">
        <is>
          <t>지정되지않음</t>
        </is>
      </c>
      <c r="S3061" s="3" t="inlineStr">
        <is>
          <t>공업나지</t>
        </is>
      </c>
      <c r="T3061" s="3" t="inlineStr">
        <is>
          <t>완경사</t>
        </is>
      </c>
      <c r="U3061" s="3" t="inlineStr">
        <is>
          <t>사다리형</t>
        </is>
      </c>
      <c r="V3061" s="3" t="inlineStr">
        <is>
          <t>세로한면(가)</t>
        </is>
      </c>
    </row>
    <row r="3062">
      <c r="A3062" s="3" t="inlineStr">
        <is>
          <t>전의면 영당리 40-6</t>
        </is>
      </c>
      <c r="B3062" s="3" t="inlineStr">
        <is>
          <t>계획관리지역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29700</v>
      </c>
      <c r="G3062" s="4" t="n">
        <v>838</v>
      </c>
      <c r="H3062" s="4" t="n">
        <v>253</v>
      </c>
      <c r="I3062" s="5" t="n">
        <v>117.4</v>
      </c>
      <c r="J3062" s="5" t="n">
        <v>30</v>
      </c>
      <c r="K3062" s="3" t="inlineStr">
        <is>
          <t>전원주택지 계획관리 전. 전용 711m</t>
        </is>
      </c>
      <c r="L3062" s="6">
        <f>HYPERLINK("https://fin.land.naver.com/articles/2654228177", "매물Link")</f>
        <v/>
      </c>
      <c r="M3062" s="6">
        <f>HYPERLINK("https://map.naver.com/p/search/전의면 영당리 40-6", "지도Link")</f>
        <v/>
      </c>
      <c r="N3062" s="6">
        <f>HYPERLINK("http://www.eum.go.kr/web/ar/lu/luLandDet.jsp?pnu=3611037031100400006&amp;isNoScr=script&amp;mode=search", "토지이음")</f>
        <v/>
      </c>
      <c r="O3062" s="3" t="inlineStr">
        <is>
          <t>미스터홈즈강남지사</t>
        </is>
      </c>
      <c r="P3062" s="4" t="n">
        <v>1</v>
      </c>
      <c r="Q3062" s="4" t="n">
        <v>711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세로한면(불)</t>
        </is>
      </c>
    </row>
    <row r="3063">
      <c r="A3063" s="3" t="inlineStr">
        <is>
          <t>전의면 영당리 43-1</t>
        </is>
      </c>
      <c r="B3063" s="3" t="inlineStr">
        <is>
          <t>계획관리지역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37700</v>
      </c>
      <c r="G3063" s="4" t="n">
        <v>949</v>
      </c>
      <c r="H3063" s="4" t="n">
        <v>287</v>
      </c>
      <c r="I3063" s="5" t="n">
        <v>131.4</v>
      </c>
      <c r="J3063" s="5" t="n">
        <v>60.4</v>
      </c>
      <c r="K3063" s="3" t="inlineStr">
        <is>
          <t>nan</t>
        </is>
      </c>
      <c r="L3063" s="6">
        <f>HYPERLINK("https://fin.land.naver.com/articles/2654242099", "매물Link")</f>
        <v/>
      </c>
      <c r="M3063" s="6">
        <f>HYPERLINK("https://map.naver.com/p/search/전의면 영당리 43-1", "지도Link")</f>
        <v/>
      </c>
      <c r="N3063" s="6">
        <f>HYPERLINK("http://www.eum.go.kr/web/ar/lu/luLandDet.jsp?pnu=3611037031100430001&amp;isNoScr=script&amp;mode=search", "토지이음")</f>
        <v/>
      </c>
      <c r="O3063" s="3" t="inlineStr">
        <is>
          <t>미스터홈즈강남지사</t>
        </is>
      </c>
      <c r="P3063" s="4" t="n">
        <v>1</v>
      </c>
      <c r="Q3063" s="4" t="n">
        <v>596</v>
      </c>
      <c r="R3063" s="3" t="inlineStr">
        <is>
          <t>지정되지않음</t>
        </is>
      </c>
      <c r="S3063" s="3" t="inlineStr">
        <is>
          <t>단독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전의면 영당리 81-3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210900</v>
      </c>
      <c r="G3064" s="4" t="n">
        <v>3486</v>
      </c>
      <c r="H3064" s="4" t="n">
        <v>1055</v>
      </c>
      <c r="I3064" s="5" t="n">
        <v>199.9</v>
      </c>
      <c r="J3064" s="5" t="n">
        <v>20.3</v>
      </c>
      <c r="K3064" s="3" t="inlineStr">
        <is>
          <t>nan</t>
        </is>
      </c>
      <c r="L3064" s="6">
        <f>HYPERLINK("https://fin.land.naver.com/articles/2655744379", "매물Link")</f>
        <v/>
      </c>
      <c r="M3064" s="6">
        <f>HYPERLINK("https://map.naver.com/p/search/전의면 영당리 81-3", "지도Link")</f>
        <v/>
      </c>
      <c r="N3064" s="6">
        <f>HYPERLINK("http://www.eum.go.kr/web/ar/lu/luLandDet.jsp?pnu=3611037031100810003&amp;isNoScr=script&amp;mode=search", "토지이음")</f>
        <v/>
      </c>
      <c r="O3064" s="3" t="inlineStr">
        <is>
          <t>신안무소</t>
        </is>
      </c>
      <c r="P3064" s="4" t="n">
        <v>1</v>
      </c>
      <c r="Q3064" s="4" t="n">
        <v>666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평지</t>
        </is>
      </c>
      <c r="U3064" s="3" t="inlineStr">
        <is>
          <t>부정형</t>
        </is>
      </c>
      <c r="V3064" s="3" t="inlineStr">
        <is>
          <t>맹지</t>
        </is>
      </c>
    </row>
    <row r="3065">
      <c r="A3065" s="3" t="inlineStr">
        <is>
          <t>전의면 원성리 103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55500</v>
      </c>
      <c r="G3065" s="4" t="n">
        <v>3055</v>
      </c>
      <c r="H3065" s="4" t="n">
        <v>924</v>
      </c>
      <c r="I3065" s="5" t="n">
        <v>60.1</v>
      </c>
      <c r="J3065" s="5" t="n">
        <v>38.1</v>
      </c>
      <c r="K3065" s="3" t="inlineStr">
        <is>
          <t>1번국도, 전의역 가까운지역이며, 서울세종간고속도로5km반경</t>
        </is>
      </c>
      <c r="L3065" s="6">
        <f>HYPERLINK("https://fin.land.naver.com/articles/2652117485", "매물Link")</f>
        <v/>
      </c>
      <c r="M3065" s="6">
        <f>HYPERLINK("https://map.naver.com/p/search/전의면 원성리 103", "지도Link")</f>
        <v/>
      </c>
      <c r="N3065" s="6">
        <f>HYPERLINK("http://www.eum.go.kr/web/ar/lu/luLandDet.jsp?pnu=3611037024101030000&amp;isNoScr=script&amp;mode=search", "토지이음")</f>
        <v/>
      </c>
      <c r="O3065" s="3" t="inlineStr">
        <is>
          <t>미스터홈즈강남지사</t>
        </is>
      </c>
      <c r="P3065" s="4" t="n">
        <v>2</v>
      </c>
      <c r="Q3065" s="4" t="n">
        <v>3055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전의면 원성리 164-2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71000</v>
      </c>
      <c r="G3066" s="4" t="n">
        <v>1955</v>
      </c>
      <c r="H3066" s="4" t="n">
        <v>591</v>
      </c>
      <c r="I3066" s="5" t="n">
        <v>120.1</v>
      </c>
      <c r="J3066" s="5" t="n">
        <v>38.1</v>
      </c>
      <c r="K3066" s="3" t="inlineStr">
        <is>
          <t>전의역 부근 계획관리지역 토지</t>
        </is>
      </c>
      <c r="L3066" s="6">
        <f>HYPERLINK("https://fin.land.naver.com/articles/2652534978", "매물Link")</f>
        <v/>
      </c>
      <c r="M3066" s="6">
        <f>HYPERLINK("https://map.naver.com/p/search/전의면 원성리 164-2", "지도Link")</f>
        <v/>
      </c>
      <c r="N3066" s="6">
        <f>HYPERLINK("http://www.eum.go.kr/web/ar/lu/luLandDet.jsp?pnu=3611037024101640002&amp;isNoScr=script&amp;mode=search", "토지이음")</f>
        <v/>
      </c>
      <c r="O3066" s="3" t="inlineStr">
        <is>
          <t>우림</t>
        </is>
      </c>
      <c r="P3066" s="4" t="n">
        <v>1</v>
      </c>
      <c r="Q3066" s="4" t="n">
        <v>1955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전의면 원성리 176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45000</v>
      </c>
      <c r="G3067" s="4" t="n">
        <v>2171</v>
      </c>
      <c r="H3067" s="4" t="n">
        <v>657</v>
      </c>
      <c r="I3067" s="5" t="n">
        <v>68.5</v>
      </c>
      <c r="J3067" s="5" t="n">
        <v>34</v>
      </c>
      <c r="K3067" s="3" t="inlineStr">
        <is>
          <t>도로접한 계획관리 매매</t>
        </is>
      </c>
      <c r="L3067" s="6">
        <f>HYPERLINK("https://fin.land.naver.com/articles/2650931337", "매물Link")</f>
        <v/>
      </c>
      <c r="M3067" s="6">
        <f>HYPERLINK("https://map.naver.com/p/search/전의면 원성리 176", "지도Link")</f>
        <v/>
      </c>
      <c r="N3067" s="6">
        <f>HYPERLINK("http://www.eum.go.kr/web/ar/lu/luLandDet.jsp?pnu=3611037024101760000&amp;isNoScr=script&amp;mode=search", "토지이음")</f>
        <v/>
      </c>
      <c r="O3067" s="3" t="inlineStr">
        <is>
          <t>태양</t>
        </is>
      </c>
      <c r="P3067" s="4" t="n">
        <v>1</v>
      </c>
      <c r="Q3067" s="4" t="n">
        <v>2171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전의면 원성리 244</t>
        </is>
      </c>
      <c r="B3068" s="3" t="inlineStr">
        <is>
          <t>보전관리지역</t>
        </is>
      </c>
      <c r="C3068" s="3" t="inlineStr">
        <is>
          <t>전</t>
        </is>
      </c>
      <c r="D3068" s="3" t="inlineStr">
        <is>
          <t>전</t>
        </is>
      </c>
      <c r="E3068" s="3" t="inlineStr">
        <is>
          <t>매매</t>
        </is>
      </c>
      <c r="F3068" s="4" t="n">
        <v>26000</v>
      </c>
      <c r="G3068" s="4" t="n">
        <v>1673</v>
      </c>
      <c r="H3068" s="4" t="n">
        <v>506</v>
      </c>
      <c r="I3068" s="5" t="n">
        <v>51.4</v>
      </c>
      <c r="J3068" s="5" t="n">
        <v>7.6</v>
      </c>
      <c r="K3068" s="3" t="inlineStr">
        <is>
          <t>양봉업자최적토지 아카시아꿀 밀원 토지 매매</t>
        </is>
      </c>
      <c r="L3068" s="6">
        <f>HYPERLINK("https://fin.land.naver.com/articles/2654666002", "매물Link")</f>
        <v/>
      </c>
      <c r="M3068" s="6">
        <f>HYPERLINK("https://map.naver.com/p/search/전의면 원성리 244", "지도Link")</f>
        <v/>
      </c>
      <c r="N3068" s="6">
        <f>HYPERLINK("http://www.eum.go.kr/web/ar/lu/luLandDet.jsp?pnu=3611037024102440000&amp;isNoScr=script&amp;mode=search", "토지이음")</f>
        <v/>
      </c>
      <c r="O3068" s="3" t="inlineStr">
        <is>
          <t>도담</t>
        </is>
      </c>
      <c r="P3068" s="4" t="n">
        <v>1</v>
      </c>
      <c r="Q3068" s="4" t="n">
        <v>1673</v>
      </c>
      <c r="R3068" s="3" t="inlineStr">
        <is>
          <t>지정되지않음</t>
        </is>
      </c>
      <c r="S3068" s="3" t="inlineStr">
        <is>
          <t>전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전의면 원성리 산1-11</t>
        </is>
      </c>
      <c r="B3069" s="3" t="inlineStr">
        <is>
          <t>농림지역</t>
        </is>
      </c>
      <c r="C3069" s="3" t="inlineStr">
        <is>
          <t>임야</t>
        </is>
      </c>
      <c r="D3069" s="3" t="inlineStr">
        <is>
          <t>임야</t>
        </is>
      </c>
      <c r="E3069" s="3" t="inlineStr">
        <is>
          <t>매매</t>
        </is>
      </c>
      <c r="F3069" s="4" t="n">
        <v>105000</v>
      </c>
      <c r="G3069" s="4" t="n">
        <v>113193</v>
      </c>
      <c r="H3069" s="4" t="n">
        <v>34241</v>
      </c>
      <c r="I3069" s="5" t="n">
        <v>3.1</v>
      </c>
      <c r="J3069" s="5" t="n">
        <v>4.4</v>
      </c>
      <c r="K3069" s="3" t="inlineStr">
        <is>
          <t>nan</t>
        </is>
      </c>
      <c r="L3069" s="6">
        <f>HYPERLINK("https://fin.land.naver.com/articles/2655878783", "매물Link")</f>
        <v/>
      </c>
      <c r="M3069" s="6">
        <f>HYPERLINK("https://map.naver.com/p/search/전의면 원성리 산1-11", "지도Link")</f>
        <v/>
      </c>
      <c r="N3069" s="6">
        <f>HYPERLINK("http://www.eum.go.kr/web/ar/lu/luLandDet.jsp?pnu=3611037024200010011&amp;isNoScr=script&amp;mode=search", "토지이음")</f>
        <v/>
      </c>
      <c r="O3069" s="3" t="inlineStr">
        <is>
          <t>이서방</t>
        </is>
      </c>
      <c r="P3069" s="4" t="n">
        <v>1</v>
      </c>
      <c r="Q3069" s="4" t="n">
        <v>73682</v>
      </c>
      <c r="R3069" s="3" t="inlineStr">
        <is>
          <t>보전관리지역</t>
        </is>
      </c>
      <c r="S3069" s="3" t="inlineStr">
        <is>
          <t>자연림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전의면 원성리 산21-12</t>
        </is>
      </c>
      <c r="B3070" s="3" t="inlineStr">
        <is>
          <t>계획관리지역</t>
        </is>
      </c>
      <c r="C3070" s="3" t="inlineStr">
        <is>
          <t>임야</t>
        </is>
      </c>
      <c r="D3070" s="3" t="inlineStr">
        <is>
          <t>임야</t>
        </is>
      </c>
      <c r="E3070" s="3" t="inlineStr">
        <is>
          <t>매매</t>
        </is>
      </c>
      <c r="F3070" s="4" t="n">
        <v>36000</v>
      </c>
      <c r="G3070" s="4" t="n">
        <v>1765</v>
      </c>
      <c r="H3070" s="4" t="n">
        <v>534</v>
      </c>
      <c r="I3070" s="5" t="n">
        <v>67.40000000000001</v>
      </c>
      <c r="J3070" s="5" t="n">
        <v>4.6</v>
      </c>
      <c r="K3070" s="3" t="inlineStr">
        <is>
          <t>투자용, 전의역세권 토지, 산업단지인근, 2차선도로 인접</t>
        </is>
      </c>
      <c r="L3070" s="6">
        <f>HYPERLINK("https://fin.land.naver.com/articles/2653295874", "매물Link")</f>
        <v/>
      </c>
      <c r="M3070" s="6">
        <f>HYPERLINK("https://map.naver.com/p/search/전의면 원성리 산21-12", "지도Link")</f>
        <v/>
      </c>
      <c r="N3070" s="6">
        <f>HYPERLINK("http://www.eum.go.kr/web/ar/lu/luLandDet.jsp?pnu=3611037024200210012&amp;isNoScr=script&amp;mode=search",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1765</v>
      </c>
      <c r="R3070" s="3" t="inlineStr">
        <is>
          <t>농림지역</t>
        </is>
      </c>
      <c r="S3070" s="3" t="inlineStr">
        <is>
          <t>자연림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전의면 유천리 110-1</t>
        </is>
      </c>
      <c r="B3071" s="3" t="inlineStr">
        <is>
          <t>계획관리지역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21000</v>
      </c>
      <c r="G3071" s="4" t="n">
        <v>1653</v>
      </c>
      <c r="H3071" s="4" t="n">
        <v>500</v>
      </c>
      <c r="I3071" s="5" t="n">
        <v>42</v>
      </c>
      <c r="J3071" s="5" t="n">
        <v>14.3</v>
      </c>
      <c r="K3071" s="3" t="inlineStr">
        <is>
          <t>nan</t>
        </is>
      </c>
      <c r="L3071" s="6">
        <f>HYPERLINK("https://fin.land.naver.com/articles/2656217908", "매물Link")</f>
        <v/>
      </c>
      <c r="M3071" s="6">
        <f>HYPERLINK("https://map.naver.com/p/search/전의면 유천리 110-1", "지도Link")</f>
        <v/>
      </c>
      <c r="N3071" s="6">
        <f>HYPERLINK("http://www.eum.go.kr/web/ar/lu/luLandDet.jsp?pnu=3611037026101100001&amp;isNoScr=script&amp;mode=search", "토지이음")</f>
        <v/>
      </c>
      <c r="O3071" s="3" t="inlineStr">
        <is>
          <t>북세종</t>
        </is>
      </c>
      <c r="P3071" s="4" t="n">
        <v>2</v>
      </c>
      <c r="Q3071" s="4" t="n">
        <v>1653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세로한면(가)</t>
        </is>
      </c>
    </row>
    <row r="3072">
      <c r="A3072" s="3" t="inlineStr">
        <is>
          <t>전의면 유천리 110-1</t>
        </is>
      </c>
      <c r="B3072" s="3" t="inlineStr">
        <is>
          <t>계획관리지역</t>
        </is>
      </c>
      <c r="C3072" s="3" t="inlineStr">
        <is>
          <t>전</t>
        </is>
      </c>
      <c r="D3072" s="3" t="inlineStr">
        <is>
          <t>전</t>
        </is>
      </c>
      <c r="E3072" s="3" t="inlineStr">
        <is>
          <t>매매</t>
        </is>
      </c>
      <c r="F3072" s="4" t="n">
        <v>16000</v>
      </c>
      <c r="G3072" s="4" t="n">
        <v>1653</v>
      </c>
      <c r="H3072" s="4" t="n">
        <v>500</v>
      </c>
      <c r="I3072" s="5" t="n">
        <v>32</v>
      </c>
      <c r="J3072" s="5" t="n">
        <v>14.3</v>
      </c>
      <c r="K3072" s="3" t="inlineStr">
        <is>
          <t>소규모창고 및 주말농장</t>
        </is>
      </c>
      <c r="L3072" s="6">
        <f>HYPERLINK("https://fin.land.naver.com/articles/2652854212", "매물Link")</f>
        <v/>
      </c>
      <c r="M3072" s="6">
        <f>HYPERLINK("https://map.naver.com/p/search/전의면 유천리 110-1", "지도Link")</f>
        <v/>
      </c>
      <c r="N3072" s="6">
        <f>HYPERLINK("http://www.eum.go.kr/web/ar/lu/luLandDet.jsp?pnu=3611037026101100001&amp;isNoScr=script&amp;mode=search", "토지이음")</f>
        <v/>
      </c>
      <c r="O3072" s="3" t="inlineStr">
        <is>
          <t>엘지에스케이</t>
        </is>
      </c>
      <c r="P3072" s="4" t="n">
        <v>1</v>
      </c>
      <c r="Q3072" s="4" t="n">
        <v>1653</v>
      </c>
      <c r="R3072" s="3" t="inlineStr">
        <is>
          <t>지정되지않음</t>
        </is>
      </c>
      <c r="S3072" s="3" t="inlineStr">
        <is>
          <t>전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세로한면(가)</t>
        </is>
      </c>
    </row>
    <row r="3073">
      <c r="A3073" s="3" t="inlineStr">
        <is>
          <t>전의면 유천리 296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25000</v>
      </c>
      <c r="G3073" s="4" t="n">
        <v>1177</v>
      </c>
      <c r="H3073" s="4" t="n">
        <v>356</v>
      </c>
      <c r="I3073" s="5" t="n">
        <v>70.2</v>
      </c>
      <c r="J3073" s="5" t="n">
        <v>25.3</v>
      </c>
      <c r="K3073" s="3" t="inlineStr">
        <is>
          <t>전기,수도 모두 인입된 대지와 답</t>
        </is>
      </c>
      <c r="L3073" s="6">
        <f>HYPERLINK("https://fin.land.naver.com/articles/2652039538", "매물Link")</f>
        <v/>
      </c>
      <c r="M3073" s="6">
        <f>HYPERLINK("https://map.naver.com/p/search/전의면 유천리 296", "지도Link")</f>
        <v/>
      </c>
      <c r="N3073" s="6">
        <f>HYPERLINK("http://www.eum.go.kr/web/ar/lu/luLandDet.jsp?pnu=3611037026102960000&amp;isNoScr=script&amp;mode=search", "토지이음")</f>
        <v/>
      </c>
      <c r="O3073" s="3" t="inlineStr">
        <is>
          <t>미스터홈즈강남지사</t>
        </is>
      </c>
      <c r="P3073" s="4" t="n">
        <v>1</v>
      </c>
      <c r="Q3073" s="4" t="n">
        <v>630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전의면 유천리 303-4</t>
        </is>
      </c>
      <c r="B3074" s="3" t="inlineStr">
        <is>
          <t>계획관리지역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55800</v>
      </c>
      <c r="G3074" s="4" t="n">
        <v>1230</v>
      </c>
      <c r="H3074" s="4" t="n">
        <v>372</v>
      </c>
      <c r="I3074" s="5" t="n">
        <v>150</v>
      </c>
      <c r="J3074" s="5" t="n">
        <v>34.3</v>
      </c>
      <c r="K3074" s="3" t="inlineStr">
        <is>
          <t>세종에머슨cc 입구로 도로접한 각지, 창고나  음식점 추천합니다</t>
        </is>
      </c>
      <c r="L3074" s="6">
        <f>HYPERLINK("https://fin.land.naver.com/articles/2654445650", "매물Link")</f>
        <v/>
      </c>
      <c r="M3074" s="6">
        <f>HYPERLINK("https://map.naver.com/p/search/전의면 유천리 303-4", "지도Link")</f>
        <v/>
      </c>
      <c r="N3074" s="6">
        <f>HYPERLINK("http://www.eum.go.kr/web/ar/lu/luLandDet.jsp?pnu=3611037026103030004&amp;isNoScr=script&amp;mode=search", "토지이음")</f>
        <v/>
      </c>
      <c r="O3074" s="3" t="inlineStr">
        <is>
          <t>세종새롬</t>
        </is>
      </c>
      <c r="P3074" s="4" t="n">
        <v>1</v>
      </c>
      <c r="Q3074" s="4" t="n">
        <v>1230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소로한면</t>
        </is>
      </c>
    </row>
    <row r="3075">
      <c r="A3075" s="3" t="inlineStr">
        <is>
          <t>전의면 유천리 372-1</t>
        </is>
      </c>
      <c r="B3075" s="3" t="inlineStr">
        <is>
          <t>계획관리지역</t>
        </is>
      </c>
      <c r="C3075" s="3" t="inlineStr">
        <is>
          <t>공장용지</t>
        </is>
      </c>
      <c r="D3075" s="3" t="inlineStr">
        <is>
          <t>공장용지</t>
        </is>
      </c>
      <c r="E3075" s="3" t="inlineStr">
        <is>
          <t>매매</t>
        </is>
      </c>
      <c r="F3075" s="4" t="n">
        <v>1000000</v>
      </c>
      <c r="G3075" s="4" t="n">
        <v>2120</v>
      </c>
      <c r="H3075" s="4" t="n">
        <v>641</v>
      </c>
      <c r="I3075" s="5" t="n">
        <v>1560.1</v>
      </c>
      <c r="J3075" s="5" t="n">
        <v>52</v>
      </c>
      <c r="K3075" s="3" t="inlineStr">
        <is>
          <t>세종 땅 투자할분 추천</t>
        </is>
      </c>
      <c r="L3075" s="6">
        <f>HYPERLINK("https://fin.land.naver.com/articles/2656399599", "매물Link")</f>
        <v/>
      </c>
      <c r="M3075" s="6">
        <f>HYPERLINK("https://map.naver.com/p/search/전의면 유천리 372-1", "지도Link")</f>
        <v/>
      </c>
      <c r="N3075" s="6">
        <f>HYPERLINK("http://www.eum.go.kr/web/ar/lu/luLandDet.jsp?pnu=3611037026103720001&amp;isNoScr=script&amp;mode=search", "토지이음")</f>
        <v/>
      </c>
      <c r="O3075" s="3" t="inlineStr">
        <is>
          <t>신도시</t>
        </is>
      </c>
      <c r="P3075" s="4" t="n">
        <v>1</v>
      </c>
      <c r="Q3075" s="4" t="n">
        <v>2120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세로한면(가)</t>
        </is>
      </c>
    </row>
    <row r="3076">
      <c r="A3076" s="3" t="inlineStr">
        <is>
          <t>전의면 유천리 384</t>
        </is>
      </c>
      <c r="B3076" s="3" t="inlineStr">
        <is>
          <t>농림지역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26000</v>
      </c>
      <c r="G3076" s="4" t="n">
        <v>2840</v>
      </c>
      <c r="H3076" s="4" t="n">
        <v>859</v>
      </c>
      <c r="I3076" s="5" t="n">
        <v>30.3</v>
      </c>
      <c r="J3076" s="5" t="n">
        <v>12</v>
      </c>
      <c r="K3076" s="3" t="inlineStr">
        <is>
          <t>생명나무, 1번국도 접한 땅 노출 좋아요</t>
        </is>
      </c>
      <c r="L3076" s="6">
        <f>HYPERLINK("https://fin.land.naver.com/articles/2655859213", "매물Link")</f>
        <v/>
      </c>
      <c r="M3076" s="6">
        <f>HYPERLINK("https://map.naver.com/p/search/전의면 유천리 384", "지도Link")</f>
        <v/>
      </c>
      <c r="N3076" s="6">
        <f>HYPERLINK("http://www.eum.go.kr/web/ar/lu/luLandDet.jsp?pnu=3611037026103840000&amp;isNoScr=script&amp;mode=search", "토지이음")</f>
        <v/>
      </c>
      <c r="O3076" s="3" t="inlineStr">
        <is>
          <t>생명나무</t>
        </is>
      </c>
      <c r="P3076" s="4" t="n">
        <v>1</v>
      </c>
      <c r="Q3076" s="4" t="n">
        <v>1421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전의면 유천리 392-1</t>
        </is>
      </c>
      <c r="B3077" s="3" t="inlineStr">
        <is>
          <t>농림지역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16400</v>
      </c>
      <c r="G3077" s="4" t="n">
        <v>1352</v>
      </c>
      <c r="H3077" s="4" t="n">
        <v>409</v>
      </c>
      <c r="I3077" s="5" t="n">
        <v>40.1</v>
      </c>
      <c r="J3077" s="5" t="n">
        <v>15.5</v>
      </c>
      <c r="K3077" s="3" t="inlineStr">
        <is>
          <t>남풍세IC 접근성 좋은 포장농로 접 평탄 농지</t>
        </is>
      </c>
      <c r="L3077" s="6">
        <f>HYPERLINK("https://fin.land.naver.com/articles/2655065533", "매물Link")</f>
        <v/>
      </c>
      <c r="M3077" s="6">
        <f>HYPERLINK("https://map.naver.com/p/search/전의면 유천리 392-1", "지도Link")</f>
        <v/>
      </c>
      <c r="N3077" s="6">
        <f>HYPERLINK("http://www.eum.go.kr/web/ar/lu/luLandDet.jsp?pnu=3611037026103920001&amp;isNoScr=script&amp;mode=search", "토지이음")</f>
        <v/>
      </c>
      <c r="O3077" s="3" t="inlineStr">
        <is>
          <t>세종소담황금</t>
        </is>
      </c>
      <c r="P3077" s="4" t="n">
        <v>1</v>
      </c>
      <c r="Q3077" s="4" t="n">
        <v>1352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부정형</t>
        </is>
      </c>
      <c r="V3077" s="3" t="inlineStr">
        <is>
          <t>세로한면(가)</t>
        </is>
      </c>
    </row>
    <row r="3078">
      <c r="A3078" s="3" t="inlineStr">
        <is>
          <t>전의면 유천리 497-5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50000</v>
      </c>
      <c r="G3078" s="4" t="n">
        <v>1061</v>
      </c>
      <c r="H3078" s="4" t="n">
        <v>321</v>
      </c>
      <c r="I3078" s="5" t="n">
        <v>155.8</v>
      </c>
      <c r="J3078" s="5" t="n">
        <v>25.9</v>
      </c>
      <c r="K3078" s="3" t="inlineStr">
        <is>
          <t>도로접한 계획관리지역 대지 및 전</t>
        </is>
      </c>
      <c r="L3078" s="6">
        <f>HYPERLINK("https://fin.land.naver.com/articles/2651854740", "매물Link")</f>
        <v/>
      </c>
      <c r="M3078" s="6">
        <f>HYPERLINK("https://map.naver.com/p/search/전의면 유천리 497-5", "지도Link")</f>
        <v/>
      </c>
      <c r="N3078" s="6">
        <f>HYPERLINK("http://www.eum.go.kr/web/ar/lu/luLandDet.jsp?pnu=3611037026104970005&amp;isNoScr=script&amp;mode=search", "토지이음")</f>
        <v/>
      </c>
      <c r="O3078" s="3" t="inlineStr">
        <is>
          <t>세종나라</t>
        </is>
      </c>
      <c r="P3078" s="4" t="n">
        <v>1</v>
      </c>
      <c r="Q3078" s="4" t="n">
        <v>523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세로한면(불)</t>
        </is>
      </c>
    </row>
    <row r="3079">
      <c r="A3079" s="3" t="inlineStr">
        <is>
          <t>전의면 유천리 76-4</t>
        </is>
      </c>
      <c r="B3079" s="3" t="inlineStr">
        <is>
          <t>계획관리지역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140000</v>
      </c>
      <c r="G3079" s="4" t="n">
        <v>5117</v>
      </c>
      <c r="H3079" s="4" t="n">
        <v>1548</v>
      </c>
      <c r="I3079" s="5" t="n">
        <v>90.40000000000001</v>
      </c>
      <c r="J3079" s="5" t="n">
        <v>26.7</v>
      </c>
      <c r="K3079" s="3" t="inlineStr">
        <is>
          <t>w 1번국도 교통망 너무좋은 위치 w 공장, 창고 하기 좋은 위치</t>
        </is>
      </c>
      <c r="L3079" s="6">
        <f>HYPERLINK("https://fin.land.naver.com/articles/2652022745", "매물Link")</f>
        <v/>
      </c>
      <c r="M3079" s="6">
        <f>HYPERLINK("https://map.naver.com/p/search/전의면 유천리 76-4", "지도Link")</f>
        <v/>
      </c>
      <c r="N3079" s="6">
        <f>HYPERLINK("http://www.eum.go.kr/web/ar/lu/luLandDet.jsp?pnu=3611037026100760004&amp;isNoScr=script&amp;mode=search", "토지이음")</f>
        <v/>
      </c>
      <c r="O3079" s="3" t="inlineStr">
        <is>
          <t>원탑</t>
        </is>
      </c>
      <c r="P3079" s="4" t="n">
        <v>1</v>
      </c>
      <c r="Q3079" s="4" t="n">
        <v>727</v>
      </c>
      <c r="R3079" s="3" t="inlineStr">
        <is>
          <t>보전관리지역</t>
        </is>
      </c>
      <c r="S3079" s="3" t="inlineStr">
        <is>
          <t>전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전의면 유천리 84-1</t>
        </is>
      </c>
      <c r="B3080" s="3" t="inlineStr">
        <is>
          <t>보전관리지역</t>
        </is>
      </c>
      <c r="C3080" s="3" t="inlineStr">
        <is>
          <t>임야</t>
        </is>
      </c>
      <c r="D3080" s="3" t="inlineStr">
        <is>
          <t>임야</t>
        </is>
      </c>
      <c r="E3080" s="3" t="inlineStr">
        <is>
          <t>매매</t>
        </is>
      </c>
      <c r="F3080" s="4" t="n">
        <v>320000</v>
      </c>
      <c r="G3080" s="4" t="n">
        <v>12582</v>
      </c>
      <c r="H3080" s="4" t="n">
        <v>3806</v>
      </c>
      <c r="I3080" s="5" t="n">
        <v>84.09999999999999</v>
      </c>
      <c r="J3080" s="5" t="n">
        <v>20.6</v>
      </c>
      <c r="K3080" s="3" t="inlineStr">
        <is>
          <t>2차선도로접 평탄한임야 민원소지적음 다목적개발용이</t>
        </is>
      </c>
      <c r="L3080" s="6">
        <f>HYPERLINK("https://fin.land.naver.com/articles/2655013660", "매물Link")</f>
        <v/>
      </c>
      <c r="M3080" s="6">
        <f>HYPERLINK("https://map.naver.com/p/search/전의면 유천리 84-1", "지도Link")</f>
        <v/>
      </c>
      <c r="N3080" s="6">
        <f>HYPERLINK("http://www.eum.go.kr/web/ar/lu/luLandDet.jsp?pnu=3611037026100840001&amp;isNoScr=script&amp;mode=search", "토지이음")</f>
        <v/>
      </c>
      <c r="O3080" s="3" t="inlineStr">
        <is>
          <t>한마음</t>
        </is>
      </c>
      <c r="P3080" s="4" t="n">
        <v>1</v>
      </c>
      <c r="Q3080" s="4" t="n">
        <v>10837</v>
      </c>
      <c r="R3080" s="3" t="inlineStr">
        <is>
          <t>계획관리지역</t>
        </is>
      </c>
      <c r="S3080" s="3" t="inlineStr">
        <is>
          <t>자연림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중로한면</t>
        </is>
      </c>
    </row>
    <row r="3081">
      <c r="A3081" s="3" t="inlineStr">
        <is>
          <t>전의면 유천리 84-1</t>
        </is>
      </c>
      <c r="B3081" s="3" t="inlineStr">
        <is>
          <t>보전관리지역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320000</v>
      </c>
      <c r="G3081" s="4" t="n">
        <v>12582</v>
      </c>
      <c r="H3081" s="4" t="n">
        <v>3806</v>
      </c>
      <c r="I3081" s="5" t="n">
        <v>84.09999999999999</v>
      </c>
      <c r="J3081" s="5" t="n">
        <v>20.6</v>
      </c>
      <c r="K3081" s="3" t="inlineStr">
        <is>
          <t>1번국도접한 광고효과 좋은 토지매매</t>
        </is>
      </c>
      <c r="L3081" s="6">
        <f>HYPERLINK("https://fin.land.naver.com/articles/2653318114", "매물Link")</f>
        <v/>
      </c>
      <c r="M3081" s="6">
        <f>HYPERLINK("https://map.naver.com/p/search/전의면 유천리 84-1", "지도Link")</f>
        <v/>
      </c>
      <c r="N3081" s="6">
        <f>HYPERLINK("http://www.eum.go.kr/web/ar/lu/luLandDet.jsp?pnu=3611037026100840001&amp;isNoScr=script&amp;mode=search", "토지이음")</f>
        <v/>
      </c>
      <c r="O3081" s="3" t="inlineStr">
        <is>
          <t>복전</t>
        </is>
      </c>
      <c r="P3081" s="4" t="n">
        <v>1</v>
      </c>
      <c r="Q3081" s="4" t="n">
        <v>10837</v>
      </c>
      <c r="R3081" s="3" t="inlineStr">
        <is>
          <t>계획관리지역</t>
        </is>
      </c>
      <c r="S3081" s="3" t="inlineStr">
        <is>
          <t>자연림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중로한면</t>
        </is>
      </c>
    </row>
    <row r="3082">
      <c r="A3082" s="3" t="inlineStr">
        <is>
          <t>전의면 읍내리 103-5</t>
        </is>
      </c>
      <c r="B3082" s="3" t="inlineStr">
        <is>
          <t>계획관리지역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16000</v>
      </c>
      <c r="G3082" s="4" t="n">
        <v>222</v>
      </c>
      <c r="H3082" s="4" t="n">
        <v>67</v>
      </c>
      <c r="I3082" s="5" t="n">
        <v>238.8</v>
      </c>
      <c r="J3082" s="5" t="n">
        <v>83</v>
      </c>
      <c r="K3082" s="3" t="inlineStr">
        <is>
          <t>2차선 도로변 계획관리 토지</t>
        </is>
      </c>
      <c r="L3082" s="6">
        <f>HYPERLINK("https://fin.land.naver.com/articles/2652109114", "매물Link")</f>
        <v/>
      </c>
      <c r="M3082" s="6">
        <f>HYPERLINK("https://map.naver.com/p/search/전의면 읍내리 103-5", "지도Link")</f>
        <v/>
      </c>
      <c r="N3082" s="6">
        <f>HYPERLINK("http://www.eum.go.kr/web/ar/lu/luLandDet.jsp?pnu=3611037021101030005&amp;isNoScr=script&amp;mode=search", "토지이음")</f>
        <v/>
      </c>
      <c r="O3082" s="3" t="inlineStr">
        <is>
          <t>미스터홈즈강남지사</t>
        </is>
      </c>
      <c r="P3082" s="4" t="n">
        <v>1</v>
      </c>
      <c r="Q3082" s="4" t="n">
        <v>222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평지</t>
        </is>
      </c>
      <c r="U3082" s="3" t="inlineStr">
        <is>
          <t>가로장방</t>
        </is>
      </c>
      <c r="V3082" s="3" t="inlineStr">
        <is>
          <t>중로각지</t>
        </is>
      </c>
    </row>
    <row r="3083">
      <c r="A3083" s="3" t="inlineStr">
        <is>
          <t>전의면 읍내리 11-16</t>
        </is>
      </c>
      <c r="B3083" s="3" t="inlineStr">
        <is>
          <t>계획관리지역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32000</v>
      </c>
      <c r="G3083" s="4" t="n">
        <v>642</v>
      </c>
      <c r="H3083" s="4" t="n">
        <v>194</v>
      </c>
      <c r="I3083" s="5" t="n">
        <v>164.9</v>
      </c>
      <c r="J3083" s="5" t="n">
        <v>74.90000000000001</v>
      </c>
      <c r="K3083" s="3" t="inlineStr">
        <is>
          <t>nan</t>
        </is>
      </c>
      <c r="L3083" s="6">
        <f>HYPERLINK("https://fin.land.naver.com/articles/2652931214", "매물Link")</f>
        <v/>
      </c>
      <c r="M3083" s="6">
        <f>HYPERLINK("https://map.naver.com/p/search/전의면 읍내리 11-16", "지도Link")</f>
        <v/>
      </c>
      <c r="N3083" s="6">
        <f>HYPERLINK("http://www.eum.go.kr/web/ar/lu/luLandDet.jsp?pnu=3611037021100110016&amp;isNoScr=script&amp;mode=search", "토지이음")</f>
        <v/>
      </c>
      <c r="O3083" s="3" t="inlineStr">
        <is>
          <t>으뜸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세로한면(가)</t>
        </is>
      </c>
    </row>
    <row r="3084">
      <c r="A3084" s="3" t="inlineStr">
        <is>
          <t>전의면 읍내리 11-2</t>
        </is>
      </c>
      <c r="B3084" s="3" t="inlineStr">
        <is>
          <t>계획관리지역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150000</v>
      </c>
      <c r="G3084" s="4" t="n">
        <v>2820</v>
      </c>
      <c r="H3084" s="4" t="n">
        <v>853</v>
      </c>
      <c r="I3084" s="5" t="n">
        <v>175.8</v>
      </c>
      <c r="J3084" s="5" t="n">
        <v>35.3</v>
      </c>
      <c r="K3084" s="3" t="inlineStr">
        <is>
          <t>신규주거단지 및 체육공원 바로 앞 계획관리 토지</t>
        </is>
      </c>
      <c r="L3084" s="6">
        <f>HYPERLINK("https://fin.land.naver.com/articles/2652028838", "매물Link")</f>
        <v/>
      </c>
      <c r="M3084" s="6">
        <f>HYPERLINK("https://map.naver.com/p/search/전의면 읍내리 11-2", "지도Link")</f>
        <v/>
      </c>
      <c r="N3084" s="6">
        <f>HYPERLINK("http://www.eum.go.kr/web/ar/lu/luLandDet.jsp?pnu=3611037021100110002&amp;isNoScr=script&amp;mode=search", "토지이음")</f>
        <v/>
      </c>
      <c r="O3084" s="3" t="inlineStr">
        <is>
          <t>미스터홈즈강남지사</t>
        </is>
      </c>
      <c r="P3084" s="4" t="n">
        <v>1</v>
      </c>
      <c r="Q3084" s="4" t="n">
        <v>2820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맹지</t>
        </is>
      </c>
    </row>
    <row r="3085">
      <c r="A3085" s="3" t="inlineStr">
        <is>
          <t>전의면 읍내리 11-20</t>
        </is>
      </c>
      <c r="B3085" s="3" t="inlineStr">
        <is>
          <t>계획관리지역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25000</v>
      </c>
      <c r="G3085" s="4" t="n">
        <v>749</v>
      </c>
      <c r="H3085" s="4" t="n">
        <v>227</v>
      </c>
      <c r="I3085" s="5" t="n">
        <v>110.1</v>
      </c>
      <c r="J3085" s="5" t="n">
        <v>37.1</v>
      </c>
      <c r="K3085" s="3" t="inlineStr">
        <is>
          <t>nan</t>
        </is>
      </c>
      <c r="L3085" s="6">
        <f>HYPERLINK("https://fin.land.naver.com/articles/2654805353", "매물Link")</f>
        <v/>
      </c>
      <c r="M3085" s="6">
        <f>HYPERLINK("https://map.naver.com/p/search/전의면 읍내리 11-20", "지도Link")</f>
        <v/>
      </c>
      <c r="N3085" s="6">
        <f>HYPERLINK("http://www.eum.go.kr/web/ar/lu/luLandDet.jsp?pnu=3611037021100110020&amp;isNoScr=script&amp;mode=search", "토지이음")</f>
        <v/>
      </c>
      <c r="O3085" s="3" t="inlineStr">
        <is>
          <t>강아지풀</t>
        </is>
      </c>
      <c r="P3085" s="4" t="n">
        <v>1</v>
      </c>
      <c r="Q3085" s="4" t="n">
        <v>749</v>
      </c>
      <c r="R3085" s="3" t="inlineStr">
        <is>
          <t>지정되지않음</t>
        </is>
      </c>
      <c r="S3085" s="3" t="inlineStr">
        <is>
          <t>답</t>
        </is>
      </c>
      <c r="T3085" s="3" t="inlineStr">
        <is>
          <t>평지</t>
        </is>
      </c>
      <c r="U3085" s="3" t="inlineStr">
        <is>
          <t>사다리형</t>
        </is>
      </c>
      <c r="V3085" s="3" t="inlineStr">
        <is>
          <t>맹지</t>
        </is>
      </c>
    </row>
    <row r="3086">
      <c r="A3086" s="3" t="inlineStr">
        <is>
          <t>전의면 읍내리 168</t>
        </is>
      </c>
      <c r="B3086" s="3" t="inlineStr">
        <is>
          <t>보전녹지지역</t>
        </is>
      </c>
      <c r="C3086" s="3" t="inlineStr">
        <is>
          <t>전</t>
        </is>
      </c>
      <c r="D3086" s="3" t="inlineStr">
        <is>
          <t>전</t>
        </is>
      </c>
      <c r="E3086" s="3" t="inlineStr">
        <is>
          <t>매매</t>
        </is>
      </c>
      <c r="F3086" s="4" t="n">
        <v>15000</v>
      </c>
      <c r="G3086" s="4" t="n">
        <v>646</v>
      </c>
      <c r="H3086" s="4" t="n">
        <v>195</v>
      </c>
      <c r="I3086" s="5" t="n">
        <v>76.90000000000001</v>
      </c>
      <c r="J3086" s="5" t="n">
        <v>11.1</v>
      </c>
      <c r="K3086" s="3" t="inlineStr">
        <is>
          <t>전의 향교 뒷쪽 저렴한 매물</t>
        </is>
      </c>
      <c r="L3086" s="6">
        <f>HYPERLINK("https://fin.land.naver.com/articles/2652621700", "매물Link")</f>
        <v/>
      </c>
      <c r="M3086" s="6">
        <f>HYPERLINK("https://map.naver.com/p/search/전의면 읍내리 168", "지도Link")</f>
        <v/>
      </c>
      <c r="N3086" s="6">
        <f>HYPERLINK("http://www.eum.go.kr/web/ar/lu/luLandDet.jsp?pnu=3611037021101680000&amp;isNoScr=script&amp;mode=search", "토지이음")</f>
        <v/>
      </c>
      <c r="O3086" s="3" t="inlineStr">
        <is>
          <t>강나루</t>
        </is>
      </c>
      <c r="P3086" s="4" t="n">
        <v>1</v>
      </c>
      <c r="Q3086" s="4" t="n">
        <v>2136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급경사</t>
        </is>
      </c>
      <c r="U3086" s="3" t="inlineStr">
        <is>
          <t>부정형</t>
        </is>
      </c>
      <c r="V3086" s="3" t="inlineStr">
        <is>
          <t>맹지</t>
        </is>
      </c>
    </row>
    <row r="3087">
      <c r="A3087" s="3" t="inlineStr">
        <is>
          <t>전의면 읍내리 24-6</t>
        </is>
      </c>
      <c r="B3087" s="3" t="inlineStr">
        <is>
          <t>계획관리지역</t>
        </is>
      </c>
      <c r="C3087" s="3" t="inlineStr">
        <is>
          <t>전</t>
        </is>
      </c>
      <c r="D3087" s="3" t="inlineStr">
        <is>
          <t>전</t>
        </is>
      </c>
      <c r="E3087" s="3" t="inlineStr">
        <is>
          <t>매매</t>
        </is>
      </c>
      <c r="F3087" s="4" t="n">
        <v>117000</v>
      </c>
      <c r="G3087" s="4" t="n">
        <v>1928</v>
      </c>
      <c r="H3087" s="4" t="n">
        <v>583</v>
      </c>
      <c r="I3087" s="5" t="n">
        <v>200.7</v>
      </c>
      <c r="J3087" s="5" t="n">
        <v>35.7</v>
      </c>
      <c r="K3087" s="3" t="inlineStr">
        <is>
          <t>투자 물건으로 적합</t>
        </is>
      </c>
      <c r="L3087" s="6">
        <f>HYPERLINK("https://fin.land.naver.com/articles/2653057935", "매물Link")</f>
        <v/>
      </c>
      <c r="M3087" s="6">
        <f>HYPERLINK("https://map.naver.com/p/search/전의면 읍내리 24-6", "지도Link")</f>
        <v/>
      </c>
      <c r="N3087" s="6">
        <f>HYPERLINK("http://www.eum.go.kr/web/ar/lu/luLandDet.jsp?pnu=3611037021100240006&amp;isNoScr=script&amp;mode=search", "토지이음")</f>
        <v/>
      </c>
      <c r="O3087" s="3" t="inlineStr">
        <is>
          <t>주식회사 경진컨설팅</t>
        </is>
      </c>
      <c r="P3087" s="4" t="n">
        <v>1</v>
      </c>
      <c r="Q3087" s="4" t="n">
        <v>1928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평지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전의면 읍내리 27</t>
        </is>
      </c>
      <c r="B3088" s="3" t="inlineStr">
        <is>
          <t>계획관리지역</t>
        </is>
      </c>
      <c r="C3088" s="3" t="inlineStr">
        <is>
          <t>체육용지</t>
        </is>
      </c>
      <c r="D3088" s="3" t="inlineStr">
        <is>
          <t>임야</t>
        </is>
      </c>
      <c r="E3088" s="3" t="inlineStr">
        <is>
          <t>매매</t>
        </is>
      </c>
      <c r="F3088" s="4" t="n">
        <v>420000</v>
      </c>
      <c r="G3088" s="4" t="n">
        <v>23092</v>
      </c>
      <c r="H3088" s="4" t="n">
        <v>6985</v>
      </c>
      <c r="I3088" s="5" t="n">
        <v>60.1</v>
      </c>
      <c r="J3088" s="5" t="n">
        <v>51.1</v>
      </c>
      <c r="K3088" s="3" t="inlineStr">
        <is>
          <t>세종시 그린산업단지 인접토지 세종시에 얼마남지 않은 넓은면적에토지</t>
        </is>
      </c>
      <c r="L3088" s="6">
        <f>HYPERLINK("https://fin.land.naver.com/articles/2655490337", "매물Link")</f>
        <v/>
      </c>
      <c r="M3088" s="6">
        <f>HYPERLINK("https://map.naver.com/p/search/전의면 읍내리 27", "지도Link")</f>
        <v/>
      </c>
      <c r="N3088" s="6">
        <f>HYPERLINK("http://www.eum.go.kr/web/ar/lu/luLandDet.jsp?pnu=3611037021100270000&amp;isNoScr=script&amp;mode=search", "토지이음")</f>
        <v/>
      </c>
      <c r="O3088" s="3" t="inlineStr">
        <is>
          <t>효성해링턴오복</t>
        </is>
      </c>
      <c r="P3088" s="4" t="n">
        <v>1</v>
      </c>
      <c r="Q3088" s="4" t="n">
        <v>697</v>
      </c>
      <c r="R3088" s="3" t="inlineStr">
        <is>
          <t>지정되지않음</t>
        </is>
      </c>
      <c r="S3088" s="3" t="inlineStr">
        <is>
          <t>주거기타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세로한면(불)</t>
        </is>
      </c>
    </row>
    <row r="3089">
      <c r="A3089" s="3" t="inlineStr">
        <is>
          <t>전의면 읍내리 27-4</t>
        </is>
      </c>
      <c r="B3089" s="3" t="inlineStr">
        <is>
          <t>계획관리지역</t>
        </is>
      </c>
      <c r="C3089" s="3" t="inlineStr">
        <is>
          <t>종교용지</t>
        </is>
      </c>
      <c r="D3089" s="3" t="inlineStr">
        <is>
          <t>대</t>
        </is>
      </c>
      <c r="E3089" s="3" t="inlineStr">
        <is>
          <t>매매</t>
        </is>
      </c>
      <c r="F3089" s="4" t="n">
        <v>270000</v>
      </c>
      <c r="G3089" s="4" t="n">
        <v>23029</v>
      </c>
      <c r="H3089" s="4" t="n">
        <v>6966</v>
      </c>
      <c r="I3089" s="5" t="n">
        <v>38.8</v>
      </c>
      <c r="J3089" s="5" t="n">
        <v>51.1</v>
      </c>
      <c r="K3089" s="3" t="inlineStr">
        <is>
          <t>세종 스마트 산업단지 지원시설아파트단지, 단독, 상업시설 접함</t>
        </is>
      </c>
      <c r="L3089" s="6">
        <f>HYPERLINK("https://fin.land.naver.com/articles/2653353130", "매물Link")</f>
        <v/>
      </c>
      <c r="M3089" s="6">
        <f>HYPERLINK("https://map.naver.com/p/search/전의면 읍내리 27-4", "지도Link")</f>
        <v/>
      </c>
      <c r="N3089" s="6">
        <f>HYPERLINK("http://www.eum.go.kr/web/ar/lu/luLandDet.jsp?pnu=3611037021100270004&amp;isNoScr=script&amp;mode=search", "토지이음")</f>
        <v/>
      </c>
      <c r="O3089" s="3" t="inlineStr">
        <is>
          <t>황제</t>
        </is>
      </c>
      <c r="P3089" s="4" t="n">
        <v>1</v>
      </c>
      <c r="Q3089" s="4" t="n">
        <v>1954</v>
      </c>
      <c r="R3089" s="3" t="inlineStr">
        <is>
          <t>지정되지않음</t>
        </is>
      </c>
      <c r="S3089" s="3" t="inlineStr">
        <is>
          <t>주거기타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전의면 읍내리 282-2</t>
        </is>
      </c>
      <c r="B3090" s="3" t="inlineStr">
        <is>
          <t>생산녹지지역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14000</v>
      </c>
      <c r="G3090" s="4" t="n">
        <v>595</v>
      </c>
      <c r="H3090" s="4" t="n">
        <v>180</v>
      </c>
      <c r="I3090" s="5" t="n">
        <v>77.8</v>
      </c>
      <c r="J3090" s="5" t="n">
        <v>21.8</v>
      </c>
      <c r="K3090" s="3" t="inlineStr">
        <is>
          <t>투자용으로 추천합니다.</t>
        </is>
      </c>
      <c r="L3090" s="6">
        <f>HYPERLINK("https://fin.land.naver.com/articles/2652931174", "매물Link")</f>
        <v/>
      </c>
      <c r="M3090" s="6">
        <f>HYPERLINK("https://map.naver.com/p/search/전의면 읍내리 282-2", "지도Link")</f>
        <v/>
      </c>
      <c r="N3090" s="6">
        <f>HYPERLINK("http://www.eum.go.kr/web/ar/lu/luLandDet.jsp?pnu=3611037021102820002&amp;isNoScr=script&amp;mode=search", "토지이음")</f>
        <v/>
      </c>
      <c r="O3090" s="3" t="inlineStr">
        <is>
          <t>으뜸</t>
        </is>
      </c>
      <c r="P3090" s="4" t="n">
        <v>1</v>
      </c>
      <c r="Q3090" s="4" t="n">
        <v>595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세로한면(불)</t>
        </is>
      </c>
    </row>
    <row r="3091">
      <c r="A3091" s="3" t="inlineStr">
        <is>
          <t>전의면 읍내리 297-1</t>
        </is>
      </c>
      <c r="B3091" s="3" t="inlineStr">
        <is>
          <t>제2종일반주거지역</t>
        </is>
      </c>
      <c r="C3091" s="3" t="inlineStr">
        <is>
          <t>답</t>
        </is>
      </c>
      <c r="D3091" s="3" t="inlineStr">
        <is>
          <t>전</t>
        </is>
      </c>
      <c r="E3091" s="3" t="inlineStr">
        <is>
          <t>매매</t>
        </is>
      </c>
      <c r="F3091" s="4" t="n">
        <v>37000</v>
      </c>
      <c r="G3091" s="4" t="n">
        <v>334</v>
      </c>
      <c r="H3091" s="4" t="n">
        <v>101</v>
      </c>
      <c r="I3091" s="5" t="n">
        <v>366.3</v>
      </c>
      <c r="J3091" s="5" t="n">
        <v>164.5</v>
      </c>
      <c r="K3091" s="3" t="inlineStr">
        <is>
          <t>전의역앞 2차선 도로변 2종일반 주거지역 투자또는 건축용으로 추천합니다.</t>
        </is>
      </c>
      <c r="L3091" s="6">
        <f>HYPERLINK("https://fin.land.naver.com/articles/2656212781", "매물Link")</f>
        <v/>
      </c>
      <c r="M3091" s="6">
        <f>HYPERLINK("https://map.naver.com/p/search/전의면 읍내리 297-1", "지도Link")</f>
        <v/>
      </c>
      <c r="N3091" s="6">
        <f>HYPERLINK("http://www.eum.go.kr/web/ar/lu/luLandDet.jsp?pnu=3611037021102970001&amp;isNoScr=script&amp;mode=search", "토지이음")</f>
        <v/>
      </c>
      <c r="O3091" s="3" t="inlineStr">
        <is>
          <t>으뜸</t>
        </is>
      </c>
      <c r="P3091" s="4" t="n">
        <v>1</v>
      </c>
      <c r="Q3091" s="4" t="n">
        <v>334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가로장방</t>
        </is>
      </c>
      <c r="V3091" s="3" t="inlineStr">
        <is>
          <t>소로한면</t>
        </is>
      </c>
    </row>
    <row r="3092">
      <c r="A3092" s="3" t="inlineStr">
        <is>
          <t>전의면 읍내리 315-20</t>
        </is>
      </c>
      <c r="B3092" s="3" t="inlineStr">
        <is>
          <t>보전관리지역</t>
        </is>
      </c>
      <c r="C3092" s="3" t="inlineStr">
        <is>
          <t>창고용지</t>
        </is>
      </c>
      <c r="D3092" s="3" t="inlineStr">
        <is>
          <t>창고용지</t>
        </is>
      </c>
      <c r="E3092" s="3" t="inlineStr">
        <is>
          <t>매매</t>
        </is>
      </c>
      <c r="F3092" s="4" t="n">
        <v>400000</v>
      </c>
      <c r="G3092" s="4" t="n">
        <v>4028</v>
      </c>
      <c r="H3092" s="4" t="n">
        <v>1218</v>
      </c>
      <c r="I3092" s="5" t="n">
        <v>328.4</v>
      </c>
      <c r="J3092" s="5" t="n">
        <v>76.40000000000001</v>
      </c>
      <c r="K3092" s="3" t="inlineStr">
        <is>
          <t>위치 좋은 창고용지, 태양광 설치로 년4000만원 수익 창출, 가격 조율</t>
        </is>
      </c>
      <c r="L3092" s="6">
        <f>HYPERLINK("https://fin.land.naver.com/articles/2654659577", "매물Link")</f>
        <v/>
      </c>
      <c r="M3092" s="6">
        <f>HYPERLINK("https://map.naver.com/p/search/전의면 읍내리 315-20", "지도Link")</f>
        <v/>
      </c>
      <c r="N3092" s="6">
        <f>HYPERLINK("http://www.eum.go.kr/web/ar/lu/luLandDet.jsp?pnu=3611037021103150020&amp;isNoScr=script&amp;mode=search", "토지이음")</f>
        <v/>
      </c>
      <c r="O3092" s="3" t="inlineStr">
        <is>
          <t>세종웅진</t>
        </is>
      </c>
      <c r="P3092" s="4" t="n">
        <v>1</v>
      </c>
      <c r="Q3092" s="4" t="n">
        <v>4028</v>
      </c>
      <c r="R3092" s="3" t="inlineStr">
        <is>
          <t>지정되지않음</t>
        </is>
      </c>
      <c r="S3092" s="3" t="inlineStr">
        <is>
          <t>주거기타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전의면 읍내리 334-2</t>
        </is>
      </c>
      <c r="B3093" s="3" t="inlineStr">
        <is>
          <t>계획관리지역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38000</v>
      </c>
      <c r="G3093" s="4" t="n">
        <v>1445</v>
      </c>
      <c r="H3093" s="4" t="n">
        <v>437</v>
      </c>
      <c r="I3093" s="5" t="n">
        <v>87</v>
      </c>
      <c r="J3093" s="5" t="n">
        <v>24</v>
      </c>
      <c r="K3093" s="3" t="inlineStr">
        <is>
          <t>전원주택 부지 적합</t>
        </is>
      </c>
      <c r="L3093" s="6">
        <f>HYPERLINK("https://fin.land.naver.com/articles/2650977205", "매물Link")</f>
        <v/>
      </c>
      <c r="M3093" s="6">
        <f>HYPERLINK("https://map.naver.com/p/search/전의면 읍내리 334-2", "지도Link")</f>
        <v/>
      </c>
      <c r="N3093" s="6">
        <f>HYPERLINK("http://www.eum.go.kr/web/ar/lu/luLandDet.jsp?pnu=3611037021103340002&amp;isNoScr=script&amp;mode=search", "토지이음")</f>
        <v/>
      </c>
      <c r="O3093" s="3" t="inlineStr">
        <is>
          <t>오늘의사무소</t>
        </is>
      </c>
      <c r="P3093" s="4" t="n">
        <v>1</v>
      </c>
      <c r="Q3093" s="4" t="n">
        <v>1445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세로한면(가)</t>
        </is>
      </c>
    </row>
    <row r="3094">
      <c r="A3094" s="3" t="inlineStr">
        <is>
          <t>전의면 읍내리 386</t>
        </is>
      </c>
      <c r="B3094" s="3" t="inlineStr">
        <is>
          <t>제1종일반주거지역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24500</v>
      </c>
      <c r="G3094" s="4" t="n">
        <v>261</v>
      </c>
      <c r="H3094" s="4" t="n">
        <v>79</v>
      </c>
      <c r="I3094" s="5" t="n">
        <v>310.1</v>
      </c>
      <c r="J3094" s="5" t="n">
        <v>87.90000000000001</v>
      </c>
      <c r="K3094" s="3" t="inlineStr">
        <is>
          <t>근생 및 다가구주택을 지을수 있는 3거리 코너각지의 일반주거지역의 대지</t>
        </is>
      </c>
      <c r="L3094" s="6">
        <f>HYPERLINK("https://fin.land.naver.com/articles/2651238967", "매물Link")</f>
        <v/>
      </c>
      <c r="M3094" s="6">
        <f>HYPERLINK("https://map.naver.com/p/search/전의면 읍내리 386", "지도Link")</f>
        <v/>
      </c>
      <c r="N3094" s="6">
        <f>HYPERLINK("http://www.eum.go.kr/web/ar/lu/luLandDet.jsp?pnu=3611037021103860000&amp;isNoScr=script&amp;mode=search", "토지이음")</f>
        <v/>
      </c>
      <c r="O3094" s="3" t="inlineStr">
        <is>
          <t>스마일세종</t>
        </is>
      </c>
      <c r="P3094" s="4" t="n">
        <v>1</v>
      </c>
      <c r="Q3094" s="4" t="n">
        <v>261.6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소로각지</t>
        </is>
      </c>
    </row>
    <row r="3095">
      <c r="A3095" s="3" t="inlineStr">
        <is>
          <t>전의면 읍내리 393</t>
        </is>
      </c>
      <c r="B3095" s="3" t="inlineStr">
        <is>
          <t>제1종일반주거지역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21613</v>
      </c>
      <c r="G3095" s="4" t="n">
        <v>259</v>
      </c>
      <c r="H3095" s="4" t="n">
        <v>78</v>
      </c>
      <c r="I3095" s="5" t="n">
        <v>277.1</v>
      </c>
      <c r="J3095" s="5" t="n">
        <v>87</v>
      </c>
      <c r="K3095" s="3" t="inlineStr">
        <is>
          <t>nan</t>
        </is>
      </c>
      <c r="L3095" s="6">
        <f>HYPERLINK("https://fin.land.naver.com/articles/2656219705", "매물Link")</f>
        <v/>
      </c>
      <c r="M3095" s="6">
        <f>HYPERLINK("https://map.naver.com/p/search/전의면 읍내리 393", "지도Link")</f>
        <v/>
      </c>
      <c r="N3095" s="6">
        <f>HYPERLINK("http://www.eum.go.kr/web/ar/lu/luLandDet.jsp?pnu=3611037021103930000&amp;isNoScr=script&amp;mode=search", "토지이음")</f>
        <v/>
      </c>
      <c r="O3095" s="3" t="inlineStr">
        <is>
          <t>북세종</t>
        </is>
      </c>
      <c r="P3095" s="4" t="n">
        <v>1</v>
      </c>
      <c r="Q3095" s="4" t="n">
        <v>258.2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전의면 읍내리 396</t>
        </is>
      </c>
      <c r="B3096" s="3" t="inlineStr">
        <is>
          <t>제1종일반주거지역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22578</v>
      </c>
      <c r="G3096" s="4" t="n">
        <v>252</v>
      </c>
      <c r="H3096" s="4" t="n">
        <v>76</v>
      </c>
      <c r="I3096" s="5" t="n">
        <v>297.1</v>
      </c>
      <c r="J3096" s="5" t="n">
        <v>87.90000000000001</v>
      </c>
      <c r="K3096" s="3" t="inlineStr">
        <is>
          <t>스마트그린 코너자리 점포겸용택지</t>
        </is>
      </c>
      <c r="L3096" s="6">
        <f>HYPERLINK("https://fin.land.naver.com/articles/2656216225", "매물Link")</f>
        <v/>
      </c>
      <c r="M3096" s="6">
        <f>HYPERLINK("https://map.naver.com/p/search/전의면 읍내리 396", "지도Link")</f>
        <v/>
      </c>
      <c r="N3096" s="6">
        <f>HYPERLINK("http://www.eum.go.kr/web/ar/lu/luLandDet.jsp?pnu=3611037021103960000&amp;isNoScr=script&amp;mode=search", "토지이음")</f>
        <v/>
      </c>
      <c r="O3096" s="3" t="inlineStr">
        <is>
          <t>북세종</t>
        </is>
      </c>
      <c r="P3096" s="4" t="n">
        <v>2</v>
      </c>
      <c r="Q3096" s="4" t="n">
        <v>252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전의면 읍내리 410</t>
        </is>
      </c>
      <c r="B3097" s="3" t="inlineStr">
        <is>
          <t>제1종일반주거지역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20000</v>
      </c>
      <c r="G3097" s="4" t="n">
        <v>266</v>
      </c>
      <c r="H3097" s="4" t="n">
        <v>80</v>
      </c>
      <c r="I3097" s="5" t="n">
        <v>250</v>
      </c>
      <c r="J3097" s="5" t="n">
        <v>87</v>
      </c>
      <c r="K3097" s="3" t="inlineStr">
        <is>
          <t>초급매 3거리 코너각지의 공원 옆에 있는 대지로 상가주택부지로 좋은 대지</t>
        </is>
      </c>
      <c r="L3097" s="6">
        <f>HYPERLINK("https://fin.land.naver.com/articles/2652988780", "매물Link")</f>
        <v/>
      </c>
      <c r="M3097" s="6">
        <f>HYPERLINK("https://map.naver.com/p/search/전의면 읍내리 410", "지도Link")</f>
        <v/>
      </c>
      <c r="N3097" s="6">
        <f>HYPERLINK("http://www.eum.go.kr/web/ar/lu/luLandDet.jsp?pnu=3611037021104100000&amp;isNoScr=script&amp;mode=search", "토지이음")</f>
        <v/>
      </c>
      <c r="O3097" s="3" t="inlineStr">
        <is>
          <t>스마일세종</t>
        </is>
      </c>
      <c r="P3097" s="4" t="n">
        <v>1</v>
      </c>
      <c r="Q3097" s="4" t="n">
        <v>266.1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전의면 읍내리 410</t>
        </is>
      </c>
      <c r="B3098" s="3" t="inlineStr">
        <is>
          <t>제1종일반주거지역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15000</v>
      </c>
      <c r="G3098" s="4" t="n">
        <v>266</v>
      </c>
      <c r="H3098" s="4" t="n">
        <v>80</v>
      </c>
      <c r="I3098" s="5" t="n">
        <v>187.5</v>
      </c>
      <c r="J3098" s="5" t="n">
        <v>87</v>
      </c>
      <c r="K3098" s="3" t="inlineStr">
        <is>
          <t>전의 스마트그린산단 지역 일반 택지</t>
        </is>
      </c>
      <c r="L3098" s="6">
        <f>HYPERLINK("https://fin.land.naver.com/articles/2652621710", "매물Link")</f>
        <v/>
      </c>
      <c r="M3098" s="6">
        <f>HYPERLINK("https://map.naver.com/p/search/전의면 읍내리 410", "지도Link")</f>
        <v/>
      </c>
      <c r="N3098" s="6">
        <f>HYPERLINK("http://www.eum.go.kr/web/ar/lu/luLandDet.jsp?pnu=3611037021104100000&amp;isNoScr=script&amp;mode=search", "토지이음")</f>
        <v/>
      </c>
      <c r="O3098" s="3" t="inlineStr">
        <is>
          <t>강나루</t>
        </is>
      </c>
      <c r="P3098" s="4" t="n">
        <v>1</v>
      </c>
      <c r="Q3098" s="4" t="n">
        <v>266.1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전의면 읍내리 458</t>
        </is>
      </c>
      <c r="B3099" s="3" t="inlineStr">
        <is>
          <t>제1종일반주거지역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32000</v>
      </c>
      <c r="G3099" s="4" t="n">
        <v>249</v>
      </c>
      <c r="H3099" s="4" t="n">
        <v>75</v>
      </c>
      <c r="I3099" s="5" t="n">
        <v>426.7</v>
      </c>
      <c r="J3099" s="5" t="n">
        <v>88</v>
      </c>
      <c r="K3099" s="3" t="inlineStr">
        <is>
          <t>소액투자 추천매물,  세종산업단지 대규모 지원단지, 상가, 주택,카페 등</t>
        </is>
      </c>
      <c r="L3099" s="6">
        <f>HYPERLINK("https://fin.land.naver.com/articles/2651395954", "매물Link")</f>
        <v/>
      </c>
      <c r="M3099" s="6">
        <f>HYPERLINK("https://map.naver.com/p/search/전의면 읍내리 458", "지도Link")</f>
        <v/>
      </c>
      <c r="N3099" s="6">
        <f>HYPERLINK("http://www.eum.go.kr/web/ar/lu/luLandDet.jsp?pnu=3611037021104580000&amp;isNoScr=script&amp;mode=search", "토지이음")</f>
        <v/>
      </c>
      <c r="O3099" s="3" t="inlineStr">
        <is>
          <t>세종보물</t>
        </is>
      </c>
      <c r="P3099" s="4" t="n">
        <v>1</v>
      </c>
      <c r="Q3099" s="4" t="n">
        <v>249.5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소로한면</t>
        </is>
      </c>
    </row>
    <row r="3100">
      <c r="A3100" s="3" t="inlineStr">
        <is>
          <t>전의면 읍내리 476</t>
        </is>
      </c>
      <c r="B3100" s="3" t="inlineStr">
        <is>
          <t>제1종일반주거지역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</v>
      </c>
      <c r="G3100" s="4" t="n">
        <v>246</v>
      </c>
      <c r="H3100" s="4" t="n">
        <v>74</v>
      </c>
      <c r="I3100" s="5" t="n">
        <v>324.3</v>
      </c>
      <c r="J3100" s="5" t="n">
        <v>88.90000000000001</v>
      </c>
      <c r="K3100" s="3" t="inlineStr">
        <is>
          <t>급매 세종스마트그린 지원단지내  상가 및 주택을 건축할 수 있는 택지</t>
        </is>
      </c>
      <c r="L3100" s="6">
        <f>HYPERLINK("https://fin.land.naver.com/articles/2654752809", "매물Link")</f>
        <v/>
      </c>
      <c r="M3100" s="6">
        <f>HYPERLINK("https://map.naver.com/p/search/전의면 읍내리 476", "지도Link")</f>
        <v/>
      </c>
      <c r="N3100" s="6">
        <f>HYPERLINK("http://www.eum.go.kr/web/ar/lu/luLandDet.jsp?pnu=3611037021104760000&amp;isNoScr=script&amp;mode=search", "토지이음")</f>
        <v/>
      </c>
      <c r="O3100" s="3" t="inlineStr">
        <is>
          <t>스마일세종</t>
        </is>
      </c>
      <c r="P3100" s="4" t="n">
        <v>1</v>
      </c>
      <c r="Q3100" s="4" t="n">
        <v>246.8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가로장방</t>
        </is>
      </c>
      <c r="V3100" s="3" t="inlineStr">
        <is>
          <t>소로각지</t>
        </is>
      </c>
    </row>
    <row r="3101">
      <c r="A3101" s="3" t="inlineStr">
        <is>
          <t>전의면 읍내리 508</t>
        </is>
      </c>
      <c r="B3101" s="3" t="inlineStr">
        <is>
          <t>제1종일반주거지역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25500</v>
      </c>
      <c r="G3101" s="4" t="n">
        <v>257</v>
      </c>
      <c r="H3101" s="4" t="n">
        <v>78</v>
      </c>
      <c r="I3101" s="5" t="n">
        <v>326.9</v>
      </c>
      <c r="J3101" s="5" t="n">
        <v>88</v>
      </c>
      <c r="K3101" s="3" t="inlineStr">
        <is>
          <t>소액 투자추천  토지, 근생 ,원룸 ,식당등 가능 ,산업단지수요많은곳</t>
        </is>
      </c>
      <c r="L3101" s="6">
        <f>HYPERLINK("https://fin.land.naver.com/articles/2651396051", "매물Link")</f>
        <v/>
      </c>
      <c r="M3101" s="6">
        <f>HYPERLINK("https://map.naver.com/p/search/전의면 읍내리 508", "지도Link")</f>
        <v/>
      </c>
      <c r="N3101" s="6">
        <f>HYPERLINK("http://www.eum.go.kr/web/ar/lu/luLandDet.jsp?pnu=3611037021105080000&amp;isNoScr=script&amp;mode=search", "토지이음")</f>
        <v/>
      </c>
      <c r="O3101" s="3" t="inlineStr">
        <is>
          <t>세종보물</t>
        </is>
      </c>
      <c r="P3101" s="4" t="n">
        <v>1</v>
      </c>
      <c r="Q3101" s="4" t="n">
        <v>257.8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가로장방</t>
        </is>
      </c>
      <c r="V3101" s="3" t="inlineStr">
        <is>
          <t>소로한면</t>
        </is>
      </c>
    </row>
    <row r="3102">
      <c r="A3102" s="3" t="inlineStr">
        <is>
          <t>전의면 읍내리 508</t>
        </is>
      </c>
      <c r="B3102" s="3" t="inlineStr">
        <is>
          <t>제1종일반주거지역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25000</v>
      </c>
      <c r="G3102" s="4" t="n">
        <v>257</v>
      </c>
      <c r="H3102" s="4" t="n">
        <v>78</v>
      </c>
      <c r="I3102" s="5" t="n">
        <v>320.5</v>
      </c>
      <c r="J3102" s="5" t="n">
        <v>88</v>
      </c>
      <c r="K3102" s="3" t="inlineStr">
        <is>
          <t>급매 분양가 이하 세종스마트그린 지원단지에 있는 택지 상가 및 주택 가능</t>
        </is>
      </c>
      <c r="L3102" s="6">
        <f>HYPERLINK("https://fin.land.naver.com/articles/2653608987", "매물Link")</f>
        <v/>
      </c>
      <c r="M3102" s="6">
        <f>HYPERLINK("https://map.naver.com/p/search/전의면 읍내리 508", "지도Link")</f>
        <v/>
      </c>
      <c r="N3102" s="6">
        <f>HYPERLINK("http://www.eum.go.kr/web/ar/lu/luLandDet.jsp?pnu=3611037021105080000&amp;isNoScr=script&amp;mode=search", "토지이음")</f>
        <v/>
      </c>
      <c r="O3102" s="3" t="inlineStr">
        <is>
          <t>스마일세종</t>
        </is>
      </c>
      <c r="P3102" s="4" t="n">
        <v>1</v>
      </c>
      <c r="Q3102" s="4" t="n">
        <v>257.8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소로한면</t>
        </is>
      </c>
    </row>
    <row r="3103">
      <c r="A3103" s="3" t="inlineStr">
        <is>
          <t>전의면 읍내리 515</t>
        </is>
      </c>
      <c r="B3103" s="3" t="inlineStr">
        <is>
          <t>제1종일반주거지역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25000</v>
      </c>
      <c r="G3103" s="4" t="n">
        <v>257</v>
      </c>
      <c r="H3103" s="4" t="n">
        <v>78</v>
      </c>
      <c r="I3103" s="5" t="n">
        <v>320.5</v>
      </c>
      <c r="J3103" s="5" t="n">
        <v>88</v>
      </c>
      <c r="K3103" s="3" t="inlineStr">
        <is>
          <t>산조망 카페 추천 , 근생가능 . 소액투자. 산업단지 풍부한 수요,</t>
        </is>
      </c>
      <c r="L3103" s="6">
        <f>HYPERLINK("https://fin.land.naver.com/articles/2652333092", "매물Link")</f>
        <v/>
      </c>
      <c r="M3103" s="6">
        <f>HYPERLINK("https://map.naver.com/p/search/전의면 읍내리 515", "지도Link")</f>
        <v/>
      </c>
      <c r="N3103" s="6">
        <f>HYPERLINK("http://www.eum.go.kr/web/ar/lu/luLandDet.jsp?pnu=3611037021105150000&amp;isNoScr=script&amp;mode=search", "토지이음")</f>
        <v/>
      </c>
      <c r="O3103" s="3" t="inlineStr">
        <is>
          <t>세종보물</t>
        </is>
      </c>
      <c r="P3103" s="4" t="n">
        <v>1</v>
      </c>
      <c r="Q3103" s="4" t="n">
        <v>257.3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가로장방</t>
        </is>
      </c>
      <c r="V3103" s="3" t="inlineStr">
        <is>
          <t>소로한면</t>
        </is>
      </c>
    </row>
    <row r="3104">
      <c r="A3104" s="3" t="inlineStr">
        <is>
          <t>전의면 읍내리 516</t>
        </is>
      </c>
      <c r="B3104" s="3" t="inlineStr">
        <is>
          <t>제1종일반주거지역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21000</v>
      </c>
      <c r="G3104" s="4" t="n">
        <v>257</v>
      </c>
      <c r="H3104" s="4" t="n">
        <v>78</v>
      </c>
      <c r="I3104" s="5" t="n">
        <v>269.2</v>
      </c>
      <c r="J3104" s="5" t="n">
        <v>88</v>
      </c>
      <c r="K3104" s="3" t="inlineStr">
        <is>
          <t>카페 식당등 추천 ,  조망좋은 산뷰 , 산업단지 배후 ,소액투자추천</t>
        </is>
      </c>
      <c r="L3104" s="6">
        <f>HYPERLINK("https://fin.land.naver.com/articles/2652358311", "매물Link")</f>
        <v/>
      </c>
      <c r="M3104" s="6">
        <f>HYPERLINK("https://map.naver.com/p/search/전의면 읍내리 516", "지도Link")</f>
        <v/>
      </c>
      <c r="N3104" s="6">
        <f>HYPERLINK("http://www.eum.go.kr/web/ar/lu/luLandDet.jsp?pnu=3611037021105160000&amp;isNoScr=script&amp;mode=search", "토지이음")</f>
        <v/>
      </c>
      <c r="O3104" s="3" t="inlineStr">
        <is>
          <t>세종보물</t>
        </is>
      </c>
      <c r="P3104" s="4" t="n">
        <v>1</v>
      </c>
      <c r="Q3104" s="4" t="n">
        <v>257.1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가로장방</t>
        </is>
      </c>
      <c r="V3104" s="3" t="inlineStr">
        <is>
          <t>소로한면</t>
        </is>
      </c>
    </row>
    <row r="3105">
      <c r="A3105" s="3" t="inlineStr">
        <is>
          <t>전의면 읍내리 87-3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60000</v>
      </c>
      <c r="G3105" s="4" t="n">
        <v>1325</v>
      </c>
      <c r="H3105" s="4" t="n">
        <v>401</v>
      </c>
      <c r="I3105" s="5" t="n">
        <v>149.6</v>
      </c>
      <c r="J3105" s="5" t="n">
        <v>82.90000000000001</v>
      </c>
      <c r="K3105" s="3" t="inlineStr">
        <is>
          <t>2차도로접한 가격저렴한토지,1종일반주거지역,분할매매도 가능</t>
        </is>
      </c>
      <c r="L3105" s="6">
        <f>HYPERLINK("https://fin.land.naver.com/articles/2653409202", "매물Link")</f>
        <v/>
      </c>
      <c r="M3105" s="6">
        <f>HYPERLINK("https://map.naver.com/p/search/전의면 읍내리 87-3", "지도Link")</f>
        <v/>
      </c>
      <c r="N3105" s="6">
        <f>HYPERLINK("http://www.eum.go.kr/web/ar/lu/luLandDet.jsp?pnu=3611037021100870003&amp;isNoScr=script&amp;mode=search", "토지이음")</f>
        <v/>
      </c>
      <c r="O3105" s="3" t="inlineStr">
        <is>
          <t>신부다온</t>
        </is>
      </c>
      <c r="P3105" s="4" t="n">
        <v>1</v>
      </c>
      <c r="Q3105" s="4" t="n">
        <v>615.9</v>
      </c>
      <c r="R3105" s="3" t="inlineStr">
        <is>
          <t>지정되지않음</t>
        </is>
      </c>
      <c r="S3105" s="3" t="inlineStr">
        <is>
          <t>전기타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전의면 읍내리 88-7</t>
        </is>
      </c>
      <c r="B3106" s="3" t="inlineStr">
        <is>
          <t>제1종일반주거지역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40700</v>
      </c>
      <c r="G3106" s="4" t="n">
        <v>507</v>
      </c>
      <c r="H3106" s="4" t="n">
        <v>153</v>
      </c>
      <c r="I3106" s="5" t="n">
        <v>266</v>
      </c>
      <c r="J3106" s="5" t="n">
        <v>99.5</v>
      </c>
      <c r="K3106" s="3" t="inlineStr">
        <is>
          <t>전의면 읍내리 1종 일반주거지역 대지</t>
        </is>
      </c>
      <c r="L3106" s="6">
        <f>HYPERLINK("https://fin.land.naver.com/articles/2651336458", "매물Link")</f>
        <v/>
      </c>
      <c r="M3106" s="6">
        <f>HYPERLINK("https://map.naver.com/p/search/전의면 읍내리 88-7", "지도Link")</f>
        <v/>
      </c>
      <c r="N3106" s="6">
        <f>HYPERLINK("http://www.eum.go.kr/web/ar/lu/luLandDet.jsp?pnu=3611037021100880007&amp;isNoScr=script&amp;mode=search", "토지이음")</f>
        <v/>
      </c>
      <c r="O3106" s="3" t="inlineStr">
        <is>
          <t>금강</t>
        </is>
      </c>
      <c r="P3106" s="4" t="n">
        <v>1</v>
      </c>
      <c r="Q3106" s="4" t="n">
        <v>507.8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세로한면(가)</t>
        </is>
      </c>
    </row>
    <row r="3107">
      <c r="A3107" s="3" t="inlineStr">
        <is>
          <t>조치원읍 교리 16-5</t>
        </is>
      </c>
      <c r="B3107" s="3" t="inlineStr">
        <is>
          <t>제2종일반주거지역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40000</v>
      </c>
      <c r="G3107" s="4" t="n">
        <v>207</v>
      </c>
      <c r="H3107" s="4" t="n">
        <v>63</v>
      </c>
      <c r="I3107" s="5" t="n">
        <v>634.9</v>
      </c>
      <c r="J3107" s="5" t="n">
        <v>206.5</v>
      </c>
      <c r="K3107" s="3" t="inlineStr">
        <is>
          <t>조치원역 가까운 주거지역 토지매매</t>
        </is>
      </c>
      <c r="L3107" s="6">
        <f>HYPERLINK("https://fin.land.naver.com/articles/2654530676", "매물Link")</f>
        <v/>
      </c>
      <c r="M3107" s="6">
        <f>HYPERLINK("https://map.naver.com/p/search/조치원읍 교리 16-5", "지도Link")</f>
        <v/>
      </c>
      <c r="N3107" s="6">
        <f>HYPERLINK("http://www.eum.go.kr/web/ar/lu/luLandDet.jsp?pnu=3611025024100160005&amp;isNoScr=script&amp;mode=search", "토지이음")</f>
        <v/>
      </c>
      <c r="O3107" s="3" t="inlineStr">
        <is>
          <t>김준희</t>
        </is>
      </c>
      <c r="P3107" s="4" t="n">
        <v>1</v>
      </c>
      <c r="Q3107" s="4" t="n">
        <v>103.5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세로한면(가)</t>
        </is>
      </c>
    </row>
    <row r="3108">
      <c r="A3108" s="3" t="inlineStr">
        <is>
          <t>조치원읍 교리 18-11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42000</v>
      </c>
      <c r="G3108" s="4" t="n">
        <v>179</v>
      </c>
      <c r="H3108" s="4" t="n">
        <v>54</v>
      </c>
      <c r="I3108" s="5" t="n">
        <v>777.8</v>
      </c>
      <c r="J3108" s="5" t="n">
        <v>274.9</v>
      </c>
      <c r="K3108" s="3" t="inlineStr">
        <is>
          <t>nan</t>
        </is>
      </c>
      <c r="L3108" s="6">
        <f>HYPERLINK("https://fin.land.naver.com/articles/2653462749", "매물Link")</f>
        <v/>
      </c>
      <c r="M3108" s="6">
        <f>HYPERLINK("https://map.naver.com/p/search/조치원읍 교리 18-11", "지도Link")</f>
        <v/>
      </c>
      <c r="N3108" s="6">
        <f>HYPERLINK("http://www.eum.go.kr/web/ar/lu/luLandDet.jsp?pnu=3611025024100180011&amp;isNoScr=script&amp;mode=search", "토지이음")</f>
        <v/>
      </c>
      <c r="O3108" s="3" t="inlineStr">
        <is>
          <t>정인</t>
        </is>
      </c>
      <c r="P3108" s="4" t="n">
        <v>1</v>
      </c>
      <c r="Q3108" s="4" t="n">
        <v>179.5</v>
      </c>
      <c r="R3108" s="3" t="inlineStr">
        <is>
          <t>지정되지않음</t>
        </is>
      </c>
      <c r="S3108" s="3" t="inlineStr">
        <is>
          <t>주상기타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중로한면</t>
        </is>
      </c>
    </row>
    <row r="3109">
      <c r="A3109" s="3" t="inlineStr">
        <is>
          <t>조치원읍 교리 22-20</t>
        </is>
      </c>
      <c r="B3109" s="3" t="inlineStr">
        <is>
          <t>일반상업지역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100000</v>
      </c>
      <c r="G3109" s="4" t="n">
        <v>387</v>
      </c>
      <c r="H3109" s="4" t="n">
        <v>117</v>
      </c>
      <c r="I3109" s="5" t="n">
        <v>854.7</v>
      </c>
      <c r="J3109" s="5" t="n">
        <v>452.2</v>
      </c>
      <c r="K3109" s="3" t="inlineStr">
        <is>
          <t>nan</t>
        </is>
      </c>
      <c r="L3109" s="6">
        <f>HYPERLINK("https://fin.land.naver.com/articles/2652123797", "매물Link")</f>
        <v/>
      </c>
      <c r="M3109" s="6">
        <f>HYPERLINK("https://map.naver.com/p/search/조치원읍 교리 22-20", "지도Link")</f>
        <v/>
      </c>
      <c r="N3109" s="6">
        <f>HYPERLINK("http://www.eum.go.kr/web/ar/lu/luLandDet.jsp?pnu=3611025024100220020&amp;isNoScr=script&amp;mode=search", "토지이음")</f>
        <v/>
      </c>
      <c r="O3109" s="3" t="inlineStr">
        <is>
          <t>미스터홈즈강남지사</t>
        </is>
      </c>
      <c r="P3109" s="4" t="n">
        <v>1</v>
      </c>
      <c r="Q3109" s="4" t="n">
        <v>185.8</v>
      </c>
      <c r="R3109" s="3" t="inlineStr">
        <is>
          <t>지정되지않음</t>
        </is>
      </c>
      <c r="S3109" s="3" t="inlineStr">
        <is>
          <t>상업용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조치원읍 남리 103-68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49000</v>
      </c>
      <c r="G3110" s="4" t="n">
        <v>396</v>
      </c>
      <c r="H3110" s="4" t="n">
        <v>120</v>
      </c>
      <c r="I3110" s="5" t="n">
        <v>408.3</v>
      </c>
      <c r="J3110" s="5" t="n">
        <v>166.9</v>
      </c>
      <c r="K3110" s="3" t="inlineStr">
        <is>
          <t>2차선변, 조치원역 도보권, 조치원도시재생뉴딜지역 근거리, 동서연결도로</t>
        </is>
      </c>
      <c r="L3110" s="6">
        <f>HYPERLINK("https://fin.land.naver.com/articles/2653295631", "매물Link")</f>
        <v/>
      </c>
      <c r="M3110" s="6">
        <f>HYPERLINK("https://map.naver.com/p/search/조치원읍 남리 103-68", "지도Link")</f>
        <v/>
      </c>
      <c r="N3110" s="6">
        <f>HYPERLINK("http://www.eum.go.kr/web/ar/lu/luLandDet.jsp?pnu=3611025027101030068&amp;isNoScr=script&amp;mode=search", "토지이음")</f>
        <v/>
      </c>
      <c r="O3110" s="3" t="inlineStr">
        <is>
          <t>세종공감</t>
        </is>
      </c>
      <c r="P3110" s="4" t="n">
        <v>3</v>
      </c>
      <c r="Q3110" s="4" t="n">
        <v>396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세로한면(가)</t>
        </is>
      </c>
    </row>
    <row r="3111">
      <c r="A3111" s="3" t="inlineStr">
        <is>
          <t>조치원읍 남리 307-2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250000</v>
      </c>
      <c r="G3111" s="4" t="n">
        <v>788</v>
      </c>
      <c r="H3111" s="4" t="n">
        <v>238</v>
      </c>
      <c r="I3111" s="5" t="n">
        <v>1050.4</v>
      </c>
      <c r="J3111" s="5" t="n">
        <v>366.6</v>
      </c>
      <c r="K3111" s="3" t="inlineStr">
        <is>
          <t>조치원 4차선 코너,대지238P,통건물 3동포함,사옥 병원등 추천</t>
        </is>
      </c>
      <c r="L3111" s="6">
        <f>HYPERLINK("https://fin.land.naver.com/articles/2656202490", "매물Link")</f>
        <v/>
      </c>
      <c r="M3111" s="6">
        <f>HYPERLINK("https://map.naver.com/p/search/조치원읍 남리 307-2", "지도Link")</f>
        <v/>
      </c>
      <c r="N3111" s="6">
        <f>HYPERLINK("http://www.eum.go.kr/web/ar/lu/luLandDet.jsp?pnu=3611025027103070002&amp;isNoScr=script&amp;mode=search", "토지이음")</f>
        <v/>
      </c>
      <c r="O3111" s="3" t="inlineStr">
        <is>
          <t>광장</t>
        </is>
      </c>
      <c r="P3111" s="4" t="n">
        <v>1</v>
      </c>
      <c r="Q3111" s="4" t="n">
        <v>211.4</v>
      </c>
      <c r="R3111" s="3" t="inlineStr">
        <is>
          <t>지정되지않음</t>
        </is>
      </c>
      <c r="S3111" s="3" t="inlineStr">
        <is>
          <t>상업용</t>
        </is>
      </c>
      <c r="T3111" s="3" t="inlineStr">
        <is>
          <t>평지</t>
        </is>
      </c>
      <c r="U3111" s="3" t="inlineStr">
        <is>
          <t>자루형</t>
        </is>
      </c>
      <c r="V3111" s="3" t="inlineStr">
        <is>
          <t>중로각지</t>
        </is>
      </c>
    </row>
    <row r="3112">
      <c r="A3112" s="3" t="inlineStr">
        <is>
          <t>조치원읍 남리 347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33250</v>
      </c>
      <c r="G3112" s="4" t="n">
        <v>315</v>
      </c>
      <c r="H3112" s="4" t="n">
        <v>95</v>
      </c>
      <c r="I3112" s="5" t="n">
        <v>350</v>
      </c>
      <c r="J3112" s="5" t="n">
        <v>263.5</v>
      </c>
      <c r="K3112" s="3" t="inlineStr">
        <is>
          <t>남리 예쁜땅모양 주택및원룸 추천</t>
        </is>
      </c>
      <c r="L3112" s="6">
        <f>HYPERLINK("https://fin.land.naver.com/articles/2651708417", "매물Link")</f>
        <v/>
      </c>
      <c r="M3112" s="6">
        <f>HYPERLINK("https://map.naver.com/p/search/조치원읍 남리 347", "지도Link")</f>
        <v/>
      </c>
      <c r="N3112" s="6">
        <f>HYPERLINK("http://www.eum.go.kr/web/ar/lu/luLandDet.jsp?pnu=3611025027103470000&amp;isNoScr=script&amp;mode=search", "토지이음")</f>
        <v/>
      </c>
      <c r="O3112" s="3" t="inlineStr">
        <is>
          <t>OK수</t>
        </is>
      </c>
      <c r="P3112" s="4" t="n">
        <v>1</v>
      </c>
      <c r="Q3112" s="4" t="n">
        <v>315.7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남리 419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38000</v>
      </c>
      <c r="G3113" s="4" t="n">
        <v>353</v>
      </c>
      <c r="H3113" s="4" t="n">
        <v>107</v>
      </c>
      <c r="I3113" s="5" t="n">
        <v>355.1</v>
      </c>
      <c r="J3113" s="5" t="n">
        <v>170.3</v>
      </c>
      <c r="K3113" s="3" t="inlineStr">
        <is>
          <t>남리 저렴한 토지 다가구원룸,사옥,상가 추천</t>
        </is>
      </c>
      <c r="L3113" s="6">
        <f>HYPERLINK("https://fin.land.naver.com/articles/2655142624", "매물Link")</f>
        <v/>
      </c>
      <c r="M3113" s="6">
        <f>HYPERLINK("https://map.naver.com/p/search/조치원읍 남리 419", "지도Link")</f>
        <v/>
      </c>
      <c r="N3113" s="6">
        <f>HYPERLINK("http://www.eum.go.kr/web/ar/lu/luLandDet.jsp?pnu=3611025027104190000&amp;isNoScr=script&amp;mode=search", "토지이음")</f>
        <v/>
      </c>
      <c r="O3113" s="3" t="inlineStr">
        <is>
          <t>OK수</t>
        </is>
      </c>
      <c r="P3113" s="4" t="n">
        <v>1</v>
      </c>
      <c r="Q3113" s="4" t="n">
        <v>352.6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정방형</t>
        </is>
      </c>
      <c r="V3113" s="3" t="inlineStr">
        <is>
          <t>세로한면(가)</t>
        </is>
      </c>
    </row>
    <row r="3114">
      <c r="A3114" s="3" t="inlineStr">
        <is>
          <t>조치원읍 남리 436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21000</v>
      </c>
      <c r="G3114" s="4" t="n">
        <v>225</v>
      </c>
      <c r="H3114" s="4" t="n">
        <v>68</v>
      </c>
      <c r="I3114" s="5" t="n">
        <v>308.8</v>
      </c>
      <c r="J3114" s="5" t="n">
        <v>321.7</v>
      </c>
      <c r="K3114" s="3" t="inlineStr">
        <is>
          <t>급매, 대지, 2차선 도로 접함</t>
        </is>
      </c>
      <c r="L3114" s="6">
        <f>HYPERLINK("https://fin.land.naver.com/articles/2655426254", "매물Link")</f>
        <v/>
      </c>
      <c r="M3114" s="6">
        <f>HYPERLINK("https://map.naver.com/p/search/조치원읍 남리 436", "지도Link")</f>
        <v/>
      </c>
      <c r="N3114" s="6">
        <f>HYPERLINK("http://www.eum.go.kr/web/ar/lu/luLandDet.jsp?pnu=3611025027104360000&amp;isNoScr=script&amp;mode=search", "토지이음")</f>
        <v/>
      </c>
      <c r="O3114" s="3" t="inlineStr">
        <is>
          <t>KB세종</t>
        </is>
      </c>
      <c r="P3114" s="4" t="n">
        <v>3</v>
      </c>
      <c r="Q3114" s="4" t="n">
        <v>225.8</v>
      </c>
      <c r="R3114" s="3" t="inlineStr">
        <is>
          <t>지정되지않음</t>
        </is>
      </c>
      <c r="S3114" s="3" t="inlineStr">
        <is>
          <t>상업나지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조치원읍 번암리 101-5</t>
        </is>
      </c>
      <c r="B3115" s="3" t="inlineStr">
        <is>
          <t>제2종일반주거지역</t>
        </is>
      </c>
      <c r="C3115" s="3" t="inlineStr">
        <is>
          <t>과수원</t>
        </is>
      </c>
      <c r="D3115" s="3" t="inlineStr">
        <is>
          <t>과수원</t>
        </is>
      </c>
      <c r="E3115" s="3" t="inlineStr">
        <is>
          <t>매매</t>
        </is>
      </c>
      <c r="F3115" s="4" t="n">
        <v>59400</v>
      </c>
      <c r="G3115" s="4" t="n">
        <v>561</v>
      </c>
      <c r="H3115" s="4" t="n">
        <v>170</v>
      </c>
      <c r="I3115" s="5" t="n">
        <v>349.4</v>
      </c>
      <c r="J3115" s="5" t="n">
        <v>151</v>
      </c>
      <c r="K3115" s="3" t="inlineStr">
        <is>
          <t>제2종일반주거지역 조치원역 차량 약 7분 소로2류 접합</t>
        </is>
      </c>
      <c r="L3115" s="6">
        <f>HYPERLINK("https://fin.land.naver.com/articles/2656642393", "매물Link")</f>
        <v/>
      </c>
      <c r="M3115" s="6">
        <f>HYPERLINK("https://map.naver.com/p/search/조치원읍 번암리 101-5", "지도Link")</f>
        <v/>
      </c>
      <c r="N3115" s="6">
        <f>HYPERLINK("http://www.eum.go.kr/web/ar/lu/luLandDet.jsp?pnu=3611025031101010005&amp;isNoScr=script&amp;mode=search", "토지이음")</f>
        <v/>
      </c>
      <c r="O3115" s="3" t="inlineStr">
        <is>
          <t>세종소담황금</t>
        </is>
      </c>
      <c r="P3115" s="4" t="n">
        <v>1</v>
      </c>
      <c r="Q3115" s="4" t="n">
        <v>561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조치원읍 번암리 121-4</t>
        </is>
      </c>
      <c r="B3116" s="3" t="inlineStr">
        <is>
          <t>일반공업지역</t>
        </is>
      </c>
      <c r="C3116" s="3" t="inlineStr">
        <is>
          <t>잡종지</t>
        </is>
      </c>
      <c r="D3116" s="3" t="inlineStr">
        <is>
          <t>잡종지</t>
        </is>
      </c>
      <c r="E3116" s="3" t="inlineStr">
        <is>
          <t>매매</t>
        </is>
      </c>
      <c r="F3116" s="4" t="n">
        <v>280000</v>
      </c>
      <c r="G3116" s="4" t="n">
        <v>1531</v>
      </c>
      <c r="H3116" s="4" t="n">
        <v>463</v>
      </c>
      <c r="I3116" s="5" t="n">
        <v>604.8</v>
      </c>
      <c r="J3116" s="5" t="n">
        <v>201.1</v>
      </c>
      <c r="K3116" s="3" t="inlineStr">
        <is>
          <t>세종산단과 오송산단을 잇는 대로 접, 광고 시인성 뛰어남, 적극조율</t>
        </is>
      </c>
      <c r="L3116" s="6">
        <f>HYPERLINK("https://fin.land.naver.com/articles/2654135487", "매물Link")</f>
        <v/>
      </c>
      <c r="M3116" s="6">
        <f>HYPERLINK("https://map.naver.com/p/search/조치원읍 번암리 121-4", "지도Link")</f>
        <v/>
      </c>
      <c r="N3116" s="6">
        <f>HYPERLINK("http://www.eum.go.kr/web/ar/lu/luLandDet.jsp?pnu=3611025031101210004&amp;isNoScr=script&amp;mode=search", "토지이음")</f>
        <v/>
      </c>
      <c r="O3116" s="3" t="inlineStr">
        <is>
          <t>새롬시티</t>
        </is>
      </c>
      <c r="P3116" s="4" t="n">
        <v>1</v>
      </c>
      <c r="Q3116" s="4" t="n">
        <v>1531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광대세각</t>
        </is>
      </c>
    </row>
    <row r="3117">
      <c r="A3117" s="3" t="inlineStr">
        <is>
          <t>조치원읍 번암리 133</t>
        </is>
      </c>
      <c r="B3117" s="3" t="inlineStr">
        <is>
          <t>제2종일반주거지역</t>
        </is>
      </c>
      <c r="C3117" s="3" t="inlineStr">
        <is>
          <t>주유소용지</t>
        </is>
      </c>
      <c r="D3117" s="3" t="inlineStr">
        <is>
          <t>주유소용지</t>
        </is>
      </c>
      <c r="E3117" s="3" t="inlineStr">
        <is>
          <t>매매</t>
        </is>
      </c>
      <c r="F3117" s="4" t="n">
        <v>170000</v>
      </c>
      <c r="G3117" s="4" t="n">
        <v>542</v>
      </c>
      <c r="H3117" s="4" t="n">
        <v>164</v>
      </c>
      <c r="I3117" s="5" t="n">
        <v>1036.6</v>
      </c>
      <c r="J3117" s="5" t="n">
        <v>380.8</v>
      </c>
      <c r="K3117" s="3" t="inlineStr">
        <is>
          <t>최고의 입지, 대도로 접합, 진입로 있음, 명당,현재 주유소부지.</t>
        </is>
      </c>
      <c r="L3117" s="6">
        <f>HYPERLINK("https://fin.land.naver.com/articles/2653735754", "매물Link")</f>
        <v/>
      </c>
      <c r="M3117" s="6">
        <f>HYPERLINK("https://map.naver.com/p/search/조치원읍 번암리 133", "지도Link")</f>
        <v/>
      </c>
      <c r="N3117" s="6">
        <f>HYPERLINK("http://www.eum.go.kr/web/ar/lu/luLandDet.jsp?pnu=3611025031101330000&amp;isNoScr=script&amp;mode=search", "토지이음")</f>
        <v/>
      </c>
      <c r="O3117" s="3" t="inlineStr">
        <is>
          <t>송죽</t>
        </is>
      </c>
      <c r="P3117" s="4" t="n">
        <v>1</v>
      </c>
      <c r="Q3117" s="4" t="n">
        <v>542</v>
      </c>
      <c r="R3117" s="3" t="inlineStr">
        <is>
          <t>지정되지않음</t>
        </is>
      </c>
      <c r="S3117" s="3" t="inlineStr">
        <is>
          <t>상업용</t>
        </is>
      </c>
      <c r="T3117" s="3" t="inlineStr">
        <is>
          <t>평지</t>
        </is>
      </c>
      <c r="U3117" s="3" t="inlineStr">
        <is>
          <t>부정형</t>
        </is>
      </c>
      <c r="V3117" s="3" t="inlineStr">
        <is>
          <t>광대로한면</t>
        </is>
      </c>
    </row>
    <row r="3118">
      <c r="A3118" s="3" t="inlineStr">
        <is>
          <t>조치원읍 번암리 171-48</t>
        </is>
      </c>
      <c r="B3118" s="3" t="inlineStr">
        <is>
          <t>일반공업지역</t>
        </is>
      </c>
      <c r="C3118" s="3" t="inlineStr">
        <is>
          <t>과수원</t>
        </is>
      </c>
      <c r="D3118" s="3" t="inlineStr">
        <is>
          <t>과수원</t>
        </is>
      </c>
      <c r="E3118" s="3" t="inlineStr">
        <is>
          <t>매매</t>
        </is>
      </c>
      <c r="F3118" s="4" t="n">
        <v>121800</v>
      </c>
      <c r="G3118" s="4" t="n">
        <v>1007</v>
      </c>
      <c r="H3118" s="4" t="n">
        <v>305</v>
      </c>
      <c r="I3118" s="5" t="n">
        <v>399.3</v>
      </c>
      <c r="J3118" s="5" t="n">
        <v>49.5</v>
      </c>
      <c r="K3118" s="3" t="inlineStr">
        <is>
          <t>대로변 광고효과 소로1류1012m접함 일반공업지역 공장 근생적합</t>
        </is>
      </c>
      <c r="L3118" s="6">
        <f>HYPERLINK("https://fin.land.naver.com/articles/2651927674", "매물Link")</f>
        <v/>
      </c>
      <c r="M3118" s="6">
        <f>HYPERLINK("https://map.naver.com/p/search/조치원읍 번암리 171-48", "지도Link")</f>
        <v/>
      </c>
      <c r="N3118" s="6">
        <f>HYPERLINK("http://www.eum.go.kr/web/ar/lu/luLandDet.jsp?pnu=3611025031101710048&amp;isNoScr=script&amp;mode=search", "토지이음")</f>
        <v/>
      </c>
      <c r="O3118" s="3" t="inlineStr">
        <is>
          <t>세종이룸</t>
        </is>
      </c>
      <c r="P3118" s="4" t="n">
        <v>1</v>
      </c>
      <c r="Q3118" s="4" t="n">
        <v>598</v>
      </c>
      <c r="R3118" s="3" t="inlineStr">
        <is>
          <t>지정되지않음</t>
        </is>
      </c>
      <c r="S3118" s="3" t="inlineStr">
        <is>
          <t>과수원</t>
        </is>
      </c>
      <c r="T3118" s="3" t="inlineStr">
        <is>
          <t>완경사</t>
        </is>
      </c>
      <c r="U3118" s="3" t="inlineStr">
        <is>
          <t>부정형</t>
        </is>
      </c>
      <c r="V3118" s="3" t="inlineStr">
        <is>
          <t>세로한면(불)</t>
        </is>
      </c>
    </row>
    <row r="3119">
      <c r="A3119" s="3" t="inlineStr">
        <is>
          <t>조치원읍 번암리 171-48</t>
        </is>
      </c>
      <c r="B3119" s="3" t="inlineStr">
        <is>
          <t>일반공업지역</t>
        </is>
      </c>
      <c r="C3119" s="3" t="inlineStr">
        <is>
          <t>과수원</t>
        </is>
      </c>
      <c r="D3119" s="3" t="inlineStr">
        <is>
          <t>과수원</t>
        </is>
      </c>
      <c r="E3119" s="3" t="inlineStr">
        <is>
          <t>매매</t>
        </is>
      </c>
      <c r="F3119" s="4" t="n">
        <v>158400</v>
      </c>
      <c r="G3119" s="4" t="n">
        <v>1007</v>
      </c>
      <c r="H3119" s="4" t="n">
        <v>305</v>
      </c>
      <c r="I3119" s="5" t="n">
        <v>519.3</v>
      </c>
      <c r="J3119" s="5" t="n">
        <v>49.5</v>
      </c>
      <c r="K3119" s="3" t="inlineStr">
        <is>
          <t>조율가,대도로인접,소방포장도로 접,노출효과 좋음,근린상가,소형공장등 추천</t>
        </is>
      </c>
      <c r="L3119" s="6">
        <f>HYPERLINK("https://fin.land.naver.com/articles/2656232214", "매물Link")</f>
        <v/>
      </c>
      <c r="M3119" s="6">
        <f>HYPERLINK("https://map.naver.com/p/search/조치원읍 번암리 171-48", "지도Link")</f>
        <v/>
      </c>
      <c r="N3119" s="6">
        <f>HYPERLINK("http://www.eum.go.kr/web/ar/lu/luLandDet.jsp?pnu=3611025031101710048&amp;isNoScr=script&amp;mode=search", "토지이음")</f>
        <v/>
      </c>
      <c r="O3119" s="3" t="inlineStr">
        <is>
          <t>세종지원</t>
        </is>
      </c>
      <c r="P3119" s="4" t="n">
        <v>1</v>
      </c>
      <c r="Q3119" s="4" t="n">
        <v>598</v>
      </c>
      <c r="R3119" s="3" t="inlineStr">
        <is>
          <t>지정되지않음</t>
        </is>
      </c>
      <c r="S3119" s="3" t="inlineStr">
        <is>
          <t>과수원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세로한면(불)</t>
        </is>
      </c>
    </row>
    <row r="3120">
      <c r="A3120" s="3" t="inlineStr">
        <is>
          <t>조치원읍 번암리 171-49</t>
        </is>
      </c>
      <c r="B3120" s="3" t="inlineStr">
        <is>
          <t>일반공업지역</t>
        </is>
      </c>
      <c r="C3120" s="3" t="inlineStr">
        <is>
          <t>과수원</t>
        </is>
      </c>
      <c r="D3120" s="3" t="inlineStr">
        <is>
          <t>과수원</t>
        </is>
      </c>
      <c r="E3120" s="3" t="inlineStr">
        <is>
          <t>매매</t>
        </is>
      </c>
      <c r="F3120" s="4" t="n">
        <v>178880</v>
      </c>
      <c r="G3120" s="4" t="n">
        <v>1137</v>
      </c>
      <c r="H3120" s="4" t="n">
        <v>344</v>
      </c>
      <c r="I3120" s="5" t="n">
        <v>520</v>
      </c>
      <c r="J3120" s="5" t="n">
        <v>44</v>
      </c>
      <c r="K3120" s="3" t="inlineStr">
        <is>
          <t>조율가,대도로근접,소방포장도로 접,노출효과 좋음,근린상가,소형공장등 추천</t>
        </is>
      </c>
      <c r="L3120" s="6">
        <f>HYPERLINK("https://fin.land.naver.com/articles/2656235268", "매물Link")</f>
        <v/>
      </c>
      <c r="M3120" s="6">
        <f>HYPERLINK("https://map.naver.com/p/search/조치원읍 번암리 171-49", "지도Link")</f>
        <v/>
      </c>
      <c r="N3120" s="6">
        <f>HYPERLINK("http://www.eum.go.kr/web/ar/lu/luLandDet.jsp?pnu=3611025031101710049&amp;isNoScr=script&amp;mode=search", "토지이음")</f>
        <v/>
      </c>
      <c r="O3120" s="3" t="inlineStr">
        <is>
          <t>세종지원</t>
        </is>
      </c>
      <c r="P3120" s="4" t="n">
        <v>1</v>
      </c>
      <c r="Q3120" s="4" t="n">
        <v>1137</v>
      </c>
      <c r="R3120" s="3" t="inlineStr">
        <is>
          <t>지정되지않음</t>
        </is>
      </c>
      <c r="S3120" s="3" t="inlineStr">
        <is>
          <t>과수원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맹지</t>
        </is>
      </c>
    </row>
    <row r="3121">
      <c r="A3121" s="3" t="inlineStr">
        <is>
          <t>조치원읍 번암리 2-4</t>
        </is>
      </c>
      <c r="B3121" s="3" t="inlineStr">
        <is>
          <t>보전녹지지역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186400</v>
      </c>
      <c r="G3121" s="4" t="n">
        <v>15410</v>
      </c>
      <c r="H3121" s="4" t="n">
        <v>4662</v>
      </c>
      <c r="I3121" s="5" t="n">
        <v>40</v>
      </c>
      <c r="J3121" s="5" t="n">
        <v>59.8</v>
      </c>
      <c r="K3121" s="3" t="inlineStr">
        <is>
          <t>오송역 10분대국가산단 배후, 완경사 대형토지</t>
        </is>
      </c>
      <c r="L3121" s="6">
        <f>HYPERLINK("https://fin.land.naver.com/articles/2653296345", "매물Link")</f>
        <v/>
      </c>
      <c r="M3121" s="6">
        <f>HYPERLINK("https://map.naver.com/p/search/조치원읍 번암리 2-4", "지도Link")</f>
        <v/>
      </c>
      <c r="N3121" s="6">
        <f>HYPERLINK("http://www.eum.go.kr/web/ar/lu/luLandDet.jsp?pnu=3611025031100020004&amp;isNoScr=script&amp;mode=search", "토지이음")</f>
        <v/>
      </c>
      <c r="O3121" s="3" t="inlineStr">
        <is>
          <t>세종소담황금</t>
        </is>
      </c>
      <c r="P3121" s="4" t="n">
        <v>1</v>
      </c>
      <c r="Q3121" s="4" t="n">
        <v>10154</v>
      </c>
      <c r="R3121" s="3" t="inlineStr">
        <is>
          <t>지정되지않음</t>
        </is>
      </c>
      <c r="S3121" s="3" t="inlineStr">
        <is>
          <t>과수원</t>
        </is>
      </c>
      <c r="T3121" s="3" t="inlineStr">
        <is>
          <t>완경사</t>
        </is>
      </c>
      <c r="U3121" s="3" t="inlineStr">
        <is>
          <t>자루형</t>
        </is>
      </c>
      <c r="V3121" s="3" t="inlineStr">
        <is>
          <t>세로한면(가)</t>
        </is>
      </c>
    </row>
    <row r="3122">
      <c r="A3122" s="3" t="inlineStr">
        <is>
          <t>조치원읍 번암리 2-4</t>
        </is>
      </c>
      <c r="B3122" s="3" t="inlineStr">
        <is>
          <t>보전녹지지역</t>
        </is>
      </c>
      <c r="C3122" s="3" t="inlineStr">
        <is>
          <t>임야</t>
        </is>
      </c>
      <c r="D3122" s="3" t="inlineStr">
        <is>
          <t>임야</t>
        </is>
      </c>
      <c r="E3122" s="3" t="inlineStr">
        <is>
          <t>매매</t>
        </is>
      </c>
      <c r="F3122" s="4" t="n">
        <v>186000</v>
      </c>
      <c r="G3122" s="4" t="n">
        <v>15410</v>
      </c>
      <c r="H3122" s="4" t="n">
        <v>4662</v>
      </c>
      <c r="I3122" s="5" t="n">
        <v>39.9</v>
      </c>
      <c r="J3122" s="5" t="n">
        <v>59.8</v>
      </c>
      <c r="K3122" s="3" t="inlineStr">
        <is>
          <t>급매, 번암리 산업시설,공장다수,향후 활용가능성 높은토지</t>
        </is>
      </c>
      <c r="L3122" s="6">
        <f>HYPERLINK("https://fin.land.naver.com/articles/2651070894", "매물Link")</f>
        <v/>
      </c>
      <c r="M3122" s="6">
        <f>HYPERLINK("https://map.naver.com/p/search/조치원읍 번암리 2-4", "지도Link")</f>
        <v/>
      </c>
      <c r="N3122" s="6">
        <f>HYPERLINK("http://www.eum.go.kr/web/ar/lu/luLandDet.jsp?pnu=3611025031100020004&amp;isNoScr=script&amp;mode=search",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10154</v>
      </c>
      <c r="R3122" s="3" t="inlineStr">
        <is>
          <t>지정되지않음</t>
        </is>
      </c>
      <c r="S3122" s="3" t="inlineStr">
        <is>
          <t>과수원</t>
        </is>
      </c>
      <c r="T3122" s="3" t="inlineStr">
        <is>
          <t>완경사</t>
        </is>
      </c>
      <c r="U3122" s="3" t="inlineStr">
        <is>
          <t>자루형</t>
        </is>
      </c>
      <c r="V3122" s="3" t="inlineStr">
        <is>
          <t>세로한면(가)</t>
        </is>
      </c>
    </row>
    <row r="3123">
      <c r="A3123" s="3" t="inlineStr">
        <is>
          <t>조치원읍 번암리 66-1</t>
        </is>
      </c>
      <c r="B3123" s="3" t="inlineStr">
        <is>
          <t>제2종일반주거지역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100000</v>
      </c>
      <c r="G3123" s="4" t="n">
        <v>1084</v>
      </c>
      <c r="H3123" s="4" t="n">
        <v>328</v>
      </c>
      <c r="I3123" s="5" t="n">
        <v>304.9</v>
      </c>
      <c r="J3123" s="5" t="n">
        <v>120.7</v>
      </c>
      <c r="K3123" s="3" t="inlineStr">
        <is>
          <t>죽림리 2차선 접한 저렴한토지 상업용건물 추천</t>
        </is>
      </c>
      <c r="L3123" s="6">
        <f>HYPERLINK("https://fin.land.naver.com/articles/2651708138", "매물Link")</f>
        <v/>
      </c>
      <c r="M3123" s="6">
        <f>HYPERLINK("https://map.naver.com/p/search/조치원읍 번암리 66-1", "지도Link")</f>
        <v/>
      </c>
      <c r="N3123" s="6">
        <f>HYPERLINK("http://www.eum.go.kr/web/ar/lu/luLandDet.jsp?pnu=3611025031100660001&amp;isNoScr=script&amp;mode=search", "토지이음")</f>
        <v/>
      </c>
      <c r="O3123" s="3" t="inlineStr">
        <is>
          <t>OK수</t>
        </is>
      </c>
      <c r="P3123" s="4" t="n">
        <v>1</v>
      </c>
      <c r="Q3123" s="4" t="n">
        <v>500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완경사</t>
        </is>
      </c>
      <c r="U3123" s="3" t="inlineStr">
        <is>
          <t>부정형</t>
        </is>
      </c>
      <c r="V3123" s="3" t="inlineStr">
        <is>
          <t>소로한면</t>
        </is>
      </c>
    </row>
    <row r="3124">
      <c r="A3124" s="3" t="inlineStr">
        <is>
          <t>조치원읍 번암리 86-1</t>
        </is>
      </c>
      <c r="B3124" s="3" t="inlineStr">
        <is>
          <t>제2종일반주거지역</t>
        </is>
      </c>
      <c r="C3124" s="3" t="inlineStr">
        <is>
          <t>과수원</t>
        </is>
      </c>
      <c r="D3124" s="3" t="inlineStr">
        <is>
          <t>대</t>
        </is>
      </c>
      <c r="E3124" s="3" t="inlineStr">
        <is>
          <t>매매</t>
        </is>
      </c>
      <c r="F3124" s="4" t="n">
        <v>50000</v>
      </c>
      <c r="G3124" s="4" t="n">
        <v>331</v>
      </c>
      <c r="H3124" s="4" t="n">
        <v>100</v>
      </c>
      <c r="I3124" s="5" t="n">
        <v>500</v>
      </c>
      <c r="J3124" s="5" t="n">
        <v>190.1</v>
      </c>
      <c r="K3124" s="3" t="inlineStr">
        <is>
          <t>초기 투자 부담 적고 활용도 높은 규모</t>
        </is>
      </c>
      <c r="L3124" s="6">
        <f>HYPERLINK("https://fin.land.naver.com/articles/2655184087", "매물Link")</f>
        <v/>
      </c>
      <c r="M3124" s="6">
        <f>HYPERLINK("https://map.naver.com/p/search/조치원읍 번암리 86-1", "지도Link")</f>
        <v/>
      </c>
      <c r="N3124" s="6">
        <f>HYPERLINK("http://www.eum.go.kr/web/ar/lu/luLandDet.jsp?pnu=3611025031100860001&amp;isNoScr=script&amp;mode=search", "토지이음")</f>
        <v/>
      </c>
      <c r="O3124" s="3" t="inlineStr">
        <is>
          <t>더KEY</t>
        </is>
      </c>
      <c r="P3124" s="4" t="n">
        <v>1</v>
      </c>
      <c r="Q3124" s="4" t="n">
        <v>331</v>
      </c>
      <c r="R3124" s="3" t="inlineStr">
        <is>
          <t>지정되지않음</t>
        </is>
      </c>
      <c r="S3124" s="3" t="inlineStr">
        <is>
          <t>과수원</t>
        </is>
      </c>
      <c r="T3124" s="3" t="inlineStr">
        <is>
          <t>완경사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조치원읍 번암리 86-3</t>
        </is>
      </c>
      <c r="B3125" s="3" t="inlineStr">
        <is>
          <t>제2종일반주거지역</t>
        </is>
      </c>
      <c r="C3125" s="3" t="inlineStr">
        <is>
          <t>과수원</t>
        </is>
      </c>
      <c r="D3125" s="3" t="inlineStr">
        <is>
          <t>과수원</t>
        </is>
      </c>
      <c r="E3125" s="3" t="inlineStr">
        <is>
          <t>매매</t>
        </is>
      </c>
      <c r="F3125" s="4" t="n">
        <v>356000</v>
      </c>
      <c r="G3125" s="4" t="n">
        <v>2934</v>
      </c>
      <c r="H3125" s="4" t="n">
        <v>888</v>
      </c>
      <c r="I3125" s="5" t="n">
        <v>400.9</v>
      </c>
      <c r="J3125" s="5" t="n">
        <v>181.1</v>
      </c>
      <c r="K3125" s="3" t="inlineStr">
        <is>
          <t>도로접도 우수한 조치원 제2종주거 2,934㎡ 일괄부지</t>
        </is>
      </c>
      <c r="L3125" s="6">
        <f>HYPERLINK("https://fin.land.naver.com/articles/2653049898", "매물Link")</f>
        <v/>
      </c>
      <c r="M3125" s="6">
        <f>HYPERLINK("https://map.naver.com/p/search/조치원읍 번암리 86-3", "지도Link")</f>
        <v/>
      </c>
      <c r="N3125" s="6">
        <f>HYPERLINK("http://www.eum.go.kr/web/ar/lu/luLandDet.jsp?pnu=3611025031100860003&amp;isNoScr=script&amp;mode=search", "토지이음")</f>
        <v/>
      </c>
      <c r="O3125" s="3" t="inlineStr">
        <is>
          <t>세종소담황금</t>
        </is>
      </c>
      <c r="P3125" s="4" t="n">
        <v>1</v>
      </c>
      <c r="Q3125" s="4" t="n">
        <v>980</v>
      </c>
      <c r="R3125" s="3" t="inlineStr">
        <is>
          <t>지정되지않음</t>
        </is>
      </c>
      <c r="S3125" s="3" t="inlineStr">
        <is>
          <t>과수원</t>
        </is>
      </c>
      <c r="T3125" s="3" t="inlineStr">
        <is>
          <t>완경사</t>
        </is>
      </c>
      <c r="U3125" s="3" t="inlineStr">
        <is>
          <t>부정형</t>
        </is>
      </c>
      <c r="V3125" s="3" t="inlineStr">
        <is>
          <t>소로한면</t>
        </is>
      </c>
    </row>
    <row r="3126">
      <c r="A3126" s="3" t="inlineStr">
        <is>
          <t>조치원읍 번암리 96-2</t>
        </is>
      </c>
      <c r="B3126" s="3" t="inlineStr">
        <is>
          <t>제2종일반주거지역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180000</v>
      </c>
      <c r="G3126" s="4" t="n">
        <v>943</v>
      </c>
      <c r="H3126" s="4" t="n">
        <v>285</v>
      </c>
      <c r="I3126" s="5" t="n">
        <v>631.6</v>
      </c>
      <c r="J3126" s="5" t="n">
        <v>222.5</v>
      </c>
      <c r="K3126" s="3" t="inlineStr">
        <is>
          <t>도시지역내 2종일반주거지역 토지</t>
        </is>
      </c>
      <c r="L3126" s="6">
        <f>HYPERLINK("https://fin.land.naver.com/articles/2650856620", "매물Link")</f>
        <v/>
      </c>
      <c r="M3126" s="6">
        <f>HYPERLINK("https://map.naver.com/p/search/조치원읍 번암리 96-2", "지도Link")</f>
        <v/>
      </c>
      <c r="N3126" s="6">
        <f>HYPERLINK("http://www.eum.go.kr/web/ar/lu/luLandDet.jsp?pnu=3611025031100960002&amp;isNoScr=script&amp;mode=search", "토지이음")</f>
        <v/>
      </c>
      <c r="O3126" s="3" t="inlineStr">
        <is>
          <t>세종대박</t>
        </is>
      </c>
      <c r="P3126" s="4" t="n">
        <v>1</v>
      </c>
      <c r="Q3126" s="4" t="n">
        <v>943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중로한면</t>
        </is>
      </c>
    </row>
    <row r="3127">
      <c r="A3127" s="3" t="inlineStr">
        <is>
          <t>조치원읍 봉산리 108-1</t>
        </is>
      </c>
      <c r="B3127" s="3" t="inlineStr">
        <is>
          <t>자연녹지지역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245000</v>
      </c>
      <c r="G3127" s="4" t="n">
        <v>2188</v>
      </c>
      <c r="H3127" s="4" t="n">
        <v>662</v>
      </c>
      <c r="I3127" s="5" t="n">
        <v>370.1</v>
      </c>
      <c r="J3127" s="5" t="n">
        <v>153.9</v>
      </c>
      <c r="K3127" s="3" t="inlineStr">
        <is>
          <t>추천. 조치원 근생용지 추천</t>
        </is>
      </c>
      <c r="L3127" s="6">
        <f>HYPERLINK("https://fin.land.naver.com/articles/2651923205", "매물Link")</f>
        <v/>
      </c>
      <c r="M3127" s="6">
        <f>HYPERLINK("https://map.naver.com/p/search/조치원읍 봉산리 108-1", "지도Link")</f>
        <v/>
      </c>
      <c r="N3127" s="6">
        <f>HYPERLINK("http://www.eum.go.kr/web/ar/lu/luLandDet.jsp?pnu=3611025033101080001&amp;isNoScr=script&amp;mode=search", "토지이음")</f>
        <v/>
      </c>
      <c r="O3127" s="3" t="inlineStr">
        <is>
          <t>강아지풀</t>
        </is>
      </c>
      <c r="P3127" s="4" t="n">
        <v>1</v>
      </c>
      <c r="Q3127" s="4" t="n">
        <v>2188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소로한면</t>
        </is>
      </c>
    </row>
    <row r="3128">
      <c r="A3128" s="3" t="inlineStr">
        <is>
          <t>조치원읍 봉산리 171-3</t>
        </is>
      </c>
      <c r="B3128" s="3" t="inlineStr">
        <is>
          <t>자연녹지지역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210000</v>
      </c>
      <c r="G3128" s="4" t="n">
        <v>2313</v>
      </c>
      <c r="H3128" s="4" t="n">
        <v>700</v>
      </c>
      <c r="I3128" s="5" t="n">
        <v>300</v>
      </c>
      <c r="J3128" s="5" t="n">
        <v>129.9</v>
      </c>
      <c r="K3128" s="3" t="inlineStr">
        <is>
          <t>세종시 조치원 도심 700,  중로접 토지, 코너위치, 투자 1순위</t>
        </is>
      </c>
      <c r="L3128" s="6">
        <f>HYPERLINK("https://fin.land.naver.com/articles/2656681670", "매물Link")</f>
        <v/>
      </c>
      <c r="M3128" s="6">
        <f>HYPERLINK("https://map.naver.com/p/search/조치원읍 봉산리 171-3", "지도Link")</f>
        <v/>
      </c>
      <c r="N3128" s="6">
        <f>HYPERLINK("http://www.eum.go.kr/web/ar/lu/luLandDet.jsp?pnu=3611025033101710003&amp;isNoScr=script&amp;mode=search", "토지이음")</f>
        <v/>
      </c>
      <c r="O3128" s="3" t="inlineStr">
        <is>
          <t>세종공감</t>
        </is>
      </c>
      <c r="P3128" s="4" t="n">
        <v>1</v>
      </c>
      <c r="Q3128" s="4" t="n">
        <v>2313</v>
      </c>
      <c r="R3128" s="3" t="inlineStr">
        <is>
          <t>지정되지않음</t>
        </is>
      </c>
      <c r="S3128" s="3" t="inlineStr">
        <is>
          <t>답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중로각지</t>
        </is>
      </c>
    </row>
    <row r="3129">
      <c r="A3129" s="3" t="inlineStr">
        <is>
          <t>조치원읍 봉산리 171-5</t>
        </is>
      </c>
      <c r="B3129" s="3" t="inlineStr">
        <is>
          <t>자연녹지지역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140000</v>
      </c>
      <c r="G3129" s="4" t="n">
        <v>1695</v>
      </c>
      <c r="H3129" s="4" t="n">
        <v>513</v>
      </c>
      <c r="I3129" s="5" t="n">
        <v>272.9</v>
      </c>
      <c r="J3129" s="5" t="n">
        <v>135.2</v>
      </c>
      <c r="K3129" s="3" t="inlineStr">
        <is>
          <t>세종시 조치원읍 봉산리 토지 2필지 일괄매매입니다.</t>
        </is>
      </c>
      <c r="L3129" s="6">
        <f>HYPERLINK("https://fin.land.naver.com/articles/2654882877", "매물Link")</f>
        <v/>
      </c>
      <c r="M3129" s="6">
        <f>HYPERLINK("https://map.naver.com/p/search/조치원읍 봉산리 171-5", "지도Link")</f>
        <v/>
      </c>
      <c r="N3129" s="6">
        <f>HYPERLINK("http://www.eum.go.kr/web/ar/lu/luLandDet.jsp?pnu=3611025033101710005&amp;isNoScr=script&amp;mode=search", "토지이음")</f>
        <v/>
      </c>
      <c r="O3129" s="3" t="inlineStr">
        <is>
          <t>세종공감</t>
        </is>
      </c>
      <c r="P3129" s="4" t="n">
        <v>1</v>
      </c>
      <c r="Q3129" s="4" t="n">
        <v>499</v>
      </c>
      <c r="R3129" s="3" t="inlineStr">
        <is>
          <t>지정되지않음</t>
        </is>
      </c>
      <c r="S3129" s="3" t="inlineStr">
        <is>
          <t>답창고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중로한면</t>
        </is>
      </c>
    </row>
    <row r="3130">
      <c r="A3130" s="3" t="inlineStr">
        <is>
          <t>조치원읍 봉산리 224</t>
        </is>
      </c>
      <c r="B3130" s="3" t="inlineStr">
        <is>
          <t>자연녹지지역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70000</v>
      </c>
      <c r="G3130" s="4" t="n">
        <v>1756</v>
      </c>
      <c r="H3130" s="4" t="n">
        <v>531</v>
      </c>
      <c r="I3130" s="5" t="n">
        <v>131.8</v>
      </c>
      <c r="J3130" s="5" t="n">
        <v>70.90000000000001</v>
      </c>
      <c r="K3130" s="3" t="inlineStr">
        <is>
          <t>위치가 곧 미래입니다 가격 협상 빠르게 해 주신데요</t>
        </is>
      </c>
      <c r="L3130" s="6">
        <f>HYPERLINK("https://fin.land.naver.com/articles/2654324247", "매물Link")</f>
        <v/>
      </c>
      <c r="M3130" s="6">
        <f>HYPERLINK("https://map.naver.com/p/search/조치원읍 봉산리 224", "지도Link")</f>
        <v/>
      </c>
      <c r="N3130" s="6">
        <f>HYPERLINK("http://www.eum.go.kr/web/ar/lu/luLandDet.jsp?pnu=3611025033102240000&amp;isNoScr=script&amp;mode=search", "토지이음")</f>
        <v/>
      </c>
      <c r="O3130" s="3" t="inlineStr">
        <is>
          <t>세종시삼성래미안</t>
        </is>
      </c>
      <c r="P3130" s="4" t="n">
        <v>1</v>
      </c>
      <c r="Q3130" s="4" t="n">
        <v>1756</v>
      </c>
      <c r="R3130" s="3" t="inlineStr">
        <is>
          <t>지정되지않음</t>
        </is>
      </c>
      <c r="S3130" s="3" t="inlineStr">
        <is>
          <t>전기타</t>
        </is>
      </c>
      <c r="T3130" s="3" t="inlineStr">
        <is>
          <t>완경사</t>
        </is>
      </c>
      <c r="U3130" s="3" t="inlineStr">
        <is>
          <t>부정형</t>
        </is>
      </c>
      <c r="V3130" s="3" t="inlineStr">
        <is>
          <t>세로한면(가)</t>
        </is>
      </c>
    </row>
    <row r="3131">
      <c r="A3131" s="3" t="inlineStr">
        <is>
          <t>조치원읍 봉산리 262-5</t>
        </is>
      </c>
      <c r="B3131" s="3" t="inlineStr">
        <is>
          <t>자연녹지지역</t>
        </is>
      </c>
      <c r="C3131" s="3" t="inlineStr">
        <is>
          <t>답</t>
        </is>
      </c>
      <c r="D3131" s="3" t="inlineStr">
        <is>
          <t>답</t>
        </is>
      </c>
      <c r="E3131" s="3" t="inlineStr">
        <is>
          <t>매매</t>
        </is>
      </c>
      <c r="F3131" s="4" t="n">
        <v>50000</v>
      </c>
      <c r="G3131" s="4" t="n">
        <v>760</v>
      </c>
      <c r="H3131" s="4" t="n">
        <v>230</v>
      </c>
      <c r="I3131" s="5" t="n">
        <v>217.4</v>
      </c>
      <c r="J3131" s="5" t="n">
        <v>95.5</v>
      </c>
      <c r="K3131" s="3" t="inlineStr">
        <is>
          <t>투자가치가 높은 세종시 조치원읍 봉산리 토지매매</t>
        </is>
      </c>
      <c r="L3131" s="6">
        <f>HYPERLINK("https://fin.land.naver.com/articles/2653218031", "매물Link")</f>
        <v/>
      </c>
      <c r="M3131" s="6">
        <f>HYPERLINK("https://map.naver.com/p/search/조치원읍 봉산리 262-5", "지도Link")</f>
        <v/>
      </c>
      <c r="N3131" s="6">
        <f>HYPERLINK("http://www.eum.go.kr/web/ar/lu/luLandDet.jsp?pnu=3611025033102620005&amp;isNoScr=script&amp;mode=search", "토지이음")</f>
        <v/>
      </c>
      <c r="O3131" s="3" t="inlineStr">
        <is>
          <t>비전</t>
        </is>
      </c>
      <c r="P3131" s="4" t="n">
        <v>1</v>
      </c>
      <c r="Q3131" s="4" t="n">
        <v>760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평지</t>
        </is>
      </c>
      <c r="U3131" s="3" t="inlineStr">
        <is>
          <t>부정형</t>
        </is>
      </c>
      <c r="V3131" s="3" t="inlineStr">
        <is>
          <t>소로각지</t>
        </is>
      </c>
    </row>
    <row r="3132">
      <c r="A3132" s="3" t="inlineStr">
        <is>
          <t>조치원읍 봉산리 270-2</t>
        </is>
      </c>
      <c r="B3132" s="3" t="inlineStr">
        <is>
          <t>자연녹지지역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110000</v>
      </c>
      <c r="G3132" s="4" t="n">
        <v>774</v>
      </c>
      <c r="H3132" s="4" t="n">
        <v>234</v>
      </c>
      <c r="I3132" s="5" t="n">
        <v>470.1</v>
      </c>
      <c r="J3132" s="5" t="n">
        <v>169.9</v>
      </c>
      <c r="K3132" s="3" t="inlineStr">
        <is>
          <t>가격협의가능,2차선도로접, 개발호재지역근접, 투자용추천</t>
        </is>
      </c>
      <c r="L3132" s="6">
        <f>HYPERLINK("https://fin.land.naver.com/articles/2653555232", "매물Link")</f>
        <v/>
      </c>
      <c r="M3132" s="6">
        <f>HYPERLINK("https://map.naver.com/p/search/조치원읍 봉산리 270-2", "지도Link")</f>
        <v/>
      </c>
      <c r="N3132" s="6">
        <f>HYPERLINK("http://www.eum.go.kr/web/ar/lu/luLandDet.jsp?pnu=3611025033102700002&amp;isNoScr=script&amp;mode=search", "토지이음")</f>
        <v/>
      </c>
      <c r="O3132" s="3" t="inlineStr">
        <is>
          <t>현대아이파크</t>
        </is>
      </c>
      <c r="P3132" s="4" t="n">
        <v>1</v>
      </c>
      <c r="Q3132" s="4" t="n">
        <v>774</v>
      </c>
      <c r="R3132" s="3" t="inlineStr">
        <is>
          <t>지정되지않음</t>
        </is>
      </c>
      <c r="S3132" s="3" t="inlineStr">
        <is>
          <t>주거기타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소로각지</t>
        </is>
      </c>
    </row>
    <row r="3133">
      <c r="A3133" s="3" t="inlineStr">
        <is>
          <t>조치원읍 봉산리 273-2</t>
        </is>
      </c>
      <c r="B3133" s="3" t="inlineStr">
        <is>
          <t>계획관리지역</t>
        </is>
      </c>
      <c r="C3133" s="3" t="inlineStr">
        <is>
          <t>답</t>
        </is>
      </c>
      <c r="D3133" s="3" t="inlineStr">
        <is>
          <t>답</t>
        </is>
      </c>
      <c r="E3133" s="3" t="inlineStr">
        <is>
          <t>매매</t>
        </is>
      </c>
      <c r="F3133" s="4" t="n">
        <v>180000</v>
      </c>
      <c r="G3133" s="4" t="n">
        <v>1949</v>
      </c>
      <c r="H3133" s="4" t="n">
        <v>590</v>
      </c>
      <c r="I3133" s="5" t="n">
        <v>305.1</v>
      </c>
      <c r="J3133" s="5" t="n">
        <v>74.40000000000001</v>
      </c>
      <c r="K3133" s="3" t="inlineStr">
        <is>
          <t>봉산리  귀한 계획관리지역  2차선도로 접.토지거래허가구역. 투자추천매물</t>
        </is>
      </c>
      <c r="L3133" s="6">
        <f>HYPERLINK("https://fin.land.naver.com/articles/2652950737", "매물Link")</f>
        <v/>
      </c>
      <c r="M3133" s="6">
        <f>HYPERLINK("https://map.naver.com/p/search/조치원읍 봉산리 273-2", "지도Link")</f>
        <v/>
      </c>
      <c r="N3133" s="6">
        <f>HYPERLINK("http://www.eum.go.kr/web/ar/lu/luLandDet.jsp?pnu=3611025033102730002&amp;isNoScr=script&amp;mode=search", "토지이음")</f>
        <v/>
      </c>
      <c r="O3133" s="3" t="inlineStr">
        <is>
          <t>세종보물</t>
        </is>
      </c>
      <c r="P3133" s="4" t="n">
        <v>1</v>
      </c>
      <c r="Q3133" s="4" t="n">
        <v>1949</v>
      </c>
      <c r="R3133" s="3" t="inlineStr">
        <is>
          <t>지정되지않음</t>
        </is>
      </c>
      <c r="S3133" s="3" t="inlineStr">
        <is>
          <t>답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소로한면</t>
        </is>
      </c>
    </row>
    <row r="3134">
      <c r="A3134" s="3" t="inlineStr">
        <is>
          <t>조치원읍 봉산리 295</t>
        </is>
      </c>
      <c r="B3134" s="3" t="inlineStr">
        <is>
          <t>계획관리지역</t>
        </is>
      </c>
      <c r="C3134" s="3" t="inlineStr">
        <is>
          <t>전</t>
        </is>
      </c>
      <c r="D3134" s="3" t="inlineStr">
        <is>
          <t>전</t>
        </is>
      </c>
      <c r="E3134" s="3" t="inlineStr">
        <is>
          <t>매매</t>
        </is>
      </c>
      <c r="F3134" s="4" t="n">
        <v>329200</v>
      </c>
      <c r="G3134" s="4" t="n">
        <v>4353</v>
      </c>
      <c r="H3134" s="4" t="n">
        <v>1317</v>
      </c>
      <c r="I3134" s="5" t="n">
        <v>250</v>
      </c>
      <c r="J3134" s="5" t="n">
        <v>70.7</v>
      </c>
      <c r="K3134" s="3" t="inlineStr">
        <is>
          <t>nan</t>
        </is>
      </c>
      <c r="L3134" s="6">
        <f>HYPERLINK("https://fin.land.naver.com/articles/2655149236", "매물Link")</f>
        <v/>
      </c>
      <c r="M3134" s="6">
        <f>HYPERLINK("https://map.naver.com/p/search/조치원읍 봉산리 295", "지도Link")</f>
        <v/>
      </c>
      <c r="N3134" s="6">
        <f>HYPERLINK("http://www.eum.go.kr/web/ar/lu/luLandDet.jsp?pnu=3611025033102950000&amp;isNoScr=script&amp;mode=search", "토지이음")</f>
        <v/>
      </c>
      <c r="O3134" s="3" t="inlineStr">
        <is>
          <t>오송랜드</t>
        </is>
      </c>
      <c r="P3134" s="4" t="n">
        <v>1</v>
      </c>
      <c r="Q3134" s="4" t="n">
        <v>2226</v>
      </c>
      <c r="R3134" s="3" t="inlineStr">
        <is>
          <t>지정되지않음</t>
        </is>
      </c>
      <c r="S3134" s="3" t="inlineStr">
        <is>
          <t>전기타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조치원읍 봉산리 303</t>
        </is>
      </c>
      <c r="B3135" s="3" t="inlineStr">
        <is>
          <t>계획관리지역</t>
        </is>
      </c>
      <c r="C3135" s="3" t="inlineStr">
        <is>
          <t>전</t>
        </is>
      </c>
      <c r="D3135" s="3" t="inlineStr">
        <is>
          <t>전</t>
        </is>
      </c>
      <c r="E3135" s="3" t="inlineStr">
        <is>
          <t>매매</t>
        </is>
      </c>
      <c r="F3135" s="4" t="n">
        <v>151580</v>
      </c>
      <c r="G3135" s="4" t="n">
        <v>2277</v>
      </c>
      <c r="H3135" s="4" t="n">
        <v>689</v>
      </c>
      <c r="I3135" s="5" t="n">
        <v>220</v>
      </c>
      <c r="J3135" s="5" t="n">
        <v>62.3</v>
      </c>
      <c r="K3135" s="3" t="inlineStr">
        <is>
          <t>nan</t>
        </is>
      </c>
      <c r="L3135" s="6">
        <f>HYPERLINK("https://fin.land.naver.com/articles/2655148684", "매물Link")</f>
        <v/>
      </c>
      <c r="M3135" s="6">
        <f>HYPERLINK("https://map.naver.com/p/search/조치원읍 봉산리 303", "지도Link")</f>
        <v/>
      </c>
      <c r="N3135" s="6">
        <f>HYPERLINK("http://www.eum.go.kr/web/ar/lu/luLandDet.jsp?pnu=3611025033103030000&amp;isNoScr=script&amp;mode=search", "토지이음")</f>
        <v/>
      </c>
      <c r="O3135" s="3" t="inlineStr">
        <is>
          <t>오송랜드</t>
        </is>
      </c>
      <c r="P3135" s="4" t="n">
        <v>1</v>
      </c>
      <c r="Q3135" s="4" t="n">
        <v>2278</v>
      </c>
      <c r="R3135" s="3" t="inlineStr">
        <is>
          <t>지정되지않음</t>
        </is>
      </c>
      <c r="S3135" s="3" t="inlineStr">
        <is>
          <t>전기타</t>
        </is>
      </c>
      <c r="T3135" s="3" t="inlineStr">
        <is>
          <t>완경사</t>
        </is>
      </c>
      <c r="U3135" s="3" t="inlineStr">
        <is>
          <t>부정형</t>
        </is>
      </c>
      <c r="V3135" s="3" t="inlineStr">
        <is>
          <t>세로한면(가)</t>
        </is>
      </c>
    </row>
    <row r="3136">
      <c r="A3136" s="3" t="inlineStr">
        <is>
          <t>조치원읍 봉산리 365</t>
        </is>
      </c>
      <c r="B3136" s="3" t="inlineStr">
        <is>
          <t>준주거지역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1300000</v>
      </c>
      <c r="G3136" s="4" t="n">
        <v>4444</v>
      </c>
      <c r="H3136" s="4" t="n">
        <v>1344</v>
      </c>
      <c r="I3136" s="5" t="n">
        <v>967.3</v>
      </c>
      <c r="J3136" s="5" t="n">
        <v>256</v>
      </c>
      <c r="K3136" s="3" t="inlineStr">
        <is>
          <t>nan</t>
        </is>
      </c>
      <c r="L3136" s="6">
        <f>HYPERLINK("https://fin.land.naver.com/articles/2655899893", "매물Link")</f>
        <v/>
      </c>
      <c r="M3136" s="6">
        <f>HYPERLINK("https://map.naver.com/p/search/조치원읍 봉산리 365", "지도Link")</f>
        <v/>
      </c>
      <c r="N3136" s="6">
        <f>HYPERLINK("http://www.eum.go.kr/web/ar/lu/luLandDet.jsp?pnu=3611025033103650000&amp;isNoScr=script&amp;mode=search", "토지이음")</f>
        <v/>
      </c>
      <c r="O3136" s="3" t="inlineStr">
        <is>
          <t>테이트한남  주식회사</t>
        </is>
      </c>
      <c r="P3136" s="4" t="n">
        <v>2</v>
      </c>
      <c r="Q3136" s="4" t="n">
        <v>4444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사다리형</t>
        </is>
      </c>
      <c r="V3136" s="3" t="inlineStr">
        <is>
          <t>중로각지</t>
        </is>
      </c>
    </row>
    <row r="3137">
      <c r="A3137" s="3" t="inlineStr">
        <is>
          <t>조치원읍 봉산리 393</t>
        </is>
      </c>
      <c r="B3137" s="3" t="inlineStr">
        <is>
          <t>준주거지역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450000</v>
      </c>
      <c r="G3137" s="4" t="n">
        <v>828</v>
      </c>
      <c r="H3137" s="4" t="n">
        <v>250</v>
      </c>
      <c r="I3137" s="5" t="n">
        <v>1800</v>
      </c>
      <c r="J3137" s="5" t="n">
        <v>274.4</v>
      </c>
      <c r="K3137" s="3" t="inlineStr">
        <is>
          <t>조치원 서북부지구 아파트 앞 중심상권 토지</t>
        </is>
      </c>
      <c r="L3137" s="6">
        <f>HYPERLINK("https://fin.land.naver.com/articles/2650856619", "매물Link")</f>
        <v/>
      </c>
      <c r="M3137" s="6">
        <f>HYPERLINK("https://map.naver.com/p/search/조치원읍 봉산리 393", "지도Link")</f>
        <v/>
      </c>
      <c r="N3137" s="6">
        <f>HYPERLINK("http://www.eum.go.kr/web/ar/lu/luLandDet.jsp?pnu=3611025033103930000&amp;isNoScr=script&amp;mode=search", "토지이음")</f>
        <v/>
      </c>
      <c r="O3137" s="3" t="inlineStr">
        <is>
          <t>세종대박</t>
        </is>
      </c>
      <c r="P3137" s="4" t="n">
        <v>1</v>
      </c>
      <c r="Q3137" s="4" t="n">
        <v>828.7</v>
      </c>
      <c r="R3137" s="3" t="inlineStr">
        <is>
          <t>지정되지않음</t>
        </is>
      </c>
      <c r="S3137" s="3" t="inlineStr">
        <is>
          <t>상업나지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중로각지</t>
        </is>
      </c>
    </row>
    <row r="3138">
      <c r="A3138" s="3" t="inlineStr">
        <is>
          <t>조치원읍 봉산리 393</t>
        </is>
      </c>
      <c r="B3138" s="3" t="inlineStr">
        <is>
          <t>준주거지역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375000</v>
      </c>
      <c r="G3138" s="4" t="n">
        <v>828</v>
      </c>
      <c r="H3138" s="4" t="n">
        <v>250</v>
      </c>
      <c r="I3138" s="5" t="n">
        <v>1500</v>
      </c>
      <c r="J3138" s="5" t="n">
        <v>274.4</v>
      </c>
      <c r="K3138" s="3" t="inlineStr">
        <is>
          <t>조치원 서북부지구 준주거 대지 매매</t>
        </is>
      </c>
      <c r="L3138" s="6">
        <f>HYPERLINK("https://fin.land.naver.com/articles/2655625037", "매물Link")</f>
        <v/>
      </c>
      <c r="M3138" s="6">
        <f>HYPERLINK("https://map.naver.com/p/search/조치원읍 봉산리 393", "지도Link")</f>
        <v/>
      </c>
      <c r="N3138" s="6">
        <f>HYPERLINK("http://www.eum.go.kr/web/ar/lu/luLandDet.jsp?pnu=3611025033103930000&amp;isNoScr=script&amp;mode=search", "토지이음")</f>
        <v/>
      </c>
      <c r="O3138" s="3" t="inlineStr">
        <is>
          <t>세종몽땅</t>
        </is>
      </c>
      <c r="P3138" s="4" t="n">
        <v>1</v>
      </c>
      <c r="Q3138" s="4" t="n">
        <v>828.7</v>
      </c>
      <c r="R3138" s="3" t="inlineStr">
        <is>
          <t>지정되지않음</t>
        </is>
      </c>
      <c r="S3138" s="3" t="inlineStr">
        <is>
          <t>상업나지</t>
        </is>
      </c>
      <c r="T3138" s="3" t="inlineStr">
        <is>
          <t>평지</t>
        </is>
      </c>
      <c r="U3138" s="3" t="inlineStr">
        <is>
          <t>가로장방</t>
        </is>
      </c>
      <c r="V3138" s="3" t="inlineStr">
        <is>
          <t>중로각지</t>
        </is>
      </c>
    </row>
    <row r="3139">
      <c r="A3139" s="3" t="inlineStr">
        <is>
          <t>조치원읍 봉산리 산20-15</t>
        </is>
      </c>
      <c r="B3139" s="3" t="inlineStr">
        <is>
          <t>보전녹지지역</t>
        </is>
      </c>
      <c r="C3139" s="3" t="inlineStr">
        <is>
          <t>임야</t>
        </is>
      </c>
      <c r="D3139" s="3" t="inlineStr">
        <is>
          <t>임야</t>
        </is>
      </c>
      <c r="E3139" s="3" t="inlineStr">
        <is>
          <t>매매</t>
        </is>
      </c>
      <c r="F3139" s="4" t="n">
        <v>16084</v>
      </c>
      <c r="G3139" s="4" t="n">
        <v>13291</v>
      </c>
      <c r="H3139" s="4" t="n">
        <v>4021</v>
      </c>
      <c r="I3139" s="5" t="n">
        <v>4</v>
      </c>
      <c r="J3139" s="5" t="n">
        <v>4.1</v>
      </c>
      <c r="K3139" s="3" t="inlineStr">
        <is>
          <t>맹지 빠른매도원함 조치원읍  주변 땅 발전성 높고요 매물 가치 좋아요</t>
        </is>
      </c>
      <c r="L3139" s="6">
        <f>HYPERLINK("https://fin.land.naver.com/articles/2654866870", "매물Link")</f>
        <v/>
      </c>
      <c r="M3139" s="6">
        <f>HYPERLINK("https://map.naver.com/p/search/조치원읍 봉산리 산20-15", "지도Link")</f>
        <v/>
      </c>
      <c r="N3139" s="6">
        <f>HYPERLINK("http://www.eum.go.kr/web/ar/lu/luLandDet.jsp?pnu=3611025033200200015&amp;isNoScr=script&amp;mode=search", "토지이음")</f>
        <v/>
      </c>
      <c r="O3139" s="3" t="inlineStr">
        <is>
          <t>삼성래미안</t>
        </is>
      </c>
      <c r="P3139" s="4" t="n">
        <v>3</v>
      </c>
      <c r="Q3139" s="4" t="n">
        <v>13291</v>
      </c>
      <c r="R3139" s="3" t="inlineStr">
        <is>
          <t>자연녹지지역</t>
        </is>
      </c>
      <c r="S3139" s="3" t="inlineStr">
        <is>
          <t>자연림</t>
        </is>
      </c>
      <c r="T3139" s="3" t="inlineStr">
        <is>
          <t>급경사</t>
        </is>
      </c>
      <c r="U3139" s="3" t="inlineStr">
        <is>
          <t>부정형</t>
        </is>
      </c>
      <c r="V3139" s="3" t="inlineStr">
        <is>
          <t>맹지</t>
        </is>
      </c>
    </row>
    <row r="3140">
      <c r="A3140" s="3" t="inlineStr">
        <is>
          <t>조치원읍 서창리 105-10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185000</v>
      </c>
      <c r="G3140" s="4" t="n">
        <v>1685</v>
      </c>
      <c r="H3140" s="4" t="n">
        <v>510</v>
      </c>
      <c r="I3140" s="5" t="n">
        <v>362.7</v>
      </c>
      <c r="J3140" s="5" t="n">
        <v>228.2</v>
      </c>
      <c r="K3140" s="3" t="inlineStr">
        <is>
          <t>4차선 대로접, 물류 및 자동차 관련시설 추천</t>
        </is>
      </c>
      <c r="L3140" s="6">
        <f>HYPERLINK("https://fin.land.naver.com/articles/2654787719", "매물Link")</f>
        <v/>
      </c>
      <c r="M3140" s="6">
        <f>HYPERLINK("https://map.naver.com/p/search/조치원읍 서창리 105-10", "지도Link")</f>
        <v/>
      </c>
      <c r="N3140" s="6">
        <f>HYPERLINK("http://www.eum.go.kr/web/ar/lu/luLandDet.jsp?pnu=3611025034101050010&amp;isNoScr=script&amp;mode=search", "토지이음")</f>
        <v/>
      </c>
      <c r="O3140" s="3" t="inlineStr">
        <is>
          <t>세종소담114</t>
        </is>
      </c>
      <c r="P3140" s="4" t="n">
        <v>1</v>
      </c>
      <c r="Q3140" s="4" t="n">
        <v>1685</v>
      </c>
      <c r="R3140" s="3" t="inlineStr">
        <is>
          <t>자연녹지지역</t>
        </is>
      </c>
      <c r="S3140" s="3" t="inlineStr">
        <is>
          <t>주상나지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중로한면</t>
        </is>
      </c>
    </row>
    <row r="3141">
      <c r="A3141" s="3" t="inlineStr">
        <is>
          <t>조치원읍 서창리 106-4</t>
        </is>
      </c>
      <c r="B3141" s="3" t="inlineStr">
        <is>
          <t>제1종일반주거지역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60000</v>
      </c>
      <c r="G3141" s="4" t="n">
        <v>540</v>
      </c>
      <c r="H3141" s="4" t="n">
        <v>163</v>
      </c>
      <c r="I3141" s="5" t="n">
        <v>368.1</v>
      </c>
      <c r="J3141" s="5" t="n">
        <v>194.8</v>
      </c>
      <c r="K3141" s="3" t="inlineStr">
        <is>
          <t>카센타 세차장 등으로 활용하면 좋을 근생시설과 단독주택을 일괄매매합니다</t>
        </is>
      </c>
      <c r="L3141" s="6">
        <f>HYPERLINK("https://fin.land.naver.com/articles/2650939295", "매물Link")</f>
        <v/>
      </c>
      <c r="M3141" s="6">
        <f>HYPERLINK("https://map.naver.com/p/search/조치원읍 서창리 106-4", "지도Link")</f>
        <v/>
      </c>
      <c r="N3141" s="6">
        <f>HYPERLINK("http://www.eum.go.kr/web/ar/lu/luLandDet.jsp?pnu=3611025034101060004&amp;isNoScr=script&amp;mode=search", "토지이음")</f>
        <v/>
      </c>
      <c r="O3141" s="3" t="inlineStr">
        <is>
          <t>스마일세종</t>
        </is>
      </c>
      <c r="P3141" s="4" t="n">
        <v>1</v>
      </c>
      <c r="Q3141" s="4" t="n">
        <v>540.1</v>
      </c>
      <c r="R3141" s="3" t="inlineStr">
        <is>
          <t>지정되지않음</t>
        </is>
      </c>
      <c r="S3141" s="3" t="inlineStr">
        <is>
          <t>주상용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세로한면(가)</t>
        </is>
      </c>
    </row>
    <row r="3142">
      <c r="A3142" s="3" t="inlineStr">
        <is>
          <t>조치원읍 서창리 124-2</t>
        </is>
      </c>
      <c r="B3142" s="3" t="inlineStr">
        <is>
          <t>자연녹지지역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98700</v>
      </c>
      <c r="G3142" s="4" t="n">
        <v>1086</v>
      </c>
      <c r="H3142" s="4" t="n">
        <v>329</v>
      </c>
      <c r="I3142" s="5" t="n">
        <v>300</v>
      </c>
      <c r="J3142" s="5" t="n">
        <v>108</v>
      </c>
      <c r="K3142" s="3" t="inlineStr">
        <is>
          <t>도시지역.자연녹지지역.공공청사</t>
        </is>
      </c>
      <c r="L3142" s="6">
        <f>HYPERLINK("https://fin.land.naver.com/articles/2651200819", "매물Link")</f>
        <v/>
      </c>
      <c r="M3142" s="6">
        <f>HYPERLINK("https://map.naver.com/p/search/조치원읍 서창리 124-2", "지도Link")</f>
        <v/>
      </c>
      <c r="N3142" s="6">
        <f>HYPERLINK("http://www.eum.go.kr/web/ar/lu/luLandDet.jsp?pnu=3611025034101240002&amp;isNoScr=script&amp;mode=search", "토지이음")</f>
        <v/>
      </c>
      <c r="O3142" s="3" t="inlineStr">
        <is>
          <t>광주역포스코</t>
        </is>
      </c>
      <c r="P3142" s="4" t="n">
        <v>1</v>
      </c>
      <c r="Q3142" s="4" t="n">
        <v>1086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평지</t>
        </is>
      </c>
      <c r="U3142" s="3" t="inlineStr">
        <is>
          <t>부정형</t>
        </is>
      </c>
      <c r="V3142" s="3" t="inlineStr">
        <is>
          <t>중로각지</t>
        </is>
      </c>
    </row>
    <row r="3143">
      <c r="A3143" s="3" t="inlineStr">
        <is>
          <t>조치원읍 서창리 138-2</t>
        </is>
      </c>
      <c r="B3143" s="3" t="inlineStr">
        <is>
          <t>제2종일반주거지역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85000</v>
      </c>
      <c r="G3143" s="4" t="n">
        <v>620</v>
      </c>
      <c r="H3143" s="4" t="n">
        <v>188</v>
      </c>
      <c r="I3143" s="5" t="n">
        <v>452.1</v>
      </c>
      <c r="J3143" s="5" t="n">
        <v>178.5</v>
      </c>
      <c r="K3143" s="3" t="inlineStr">
        <is>
          <t>서창리 토지 매매</t>
        </is>
      </c>
      <c r="L3143" s="6">
        <f>HYPERLINK("https://fin.land.naver.com/articles/2654528622", "매물Link")</f>
        <v/>
      </c>
      <c r="M3143" s="6">
        <f>HYPERLINK("https://map.naver.com/p/search/조치원읍 서창리 138-2", "지도Link")</f>
        <v/>
      </c>
      <c r="N3143" s="6">
        <f>HYPERLINK("http://www.eum.go.kr/web/ar/lu/luLandDet.jsp?pnu=3611025034101380002&amp;isNoScr=script&amp;mode=search", "토지이음")</f>
        <v/>
      </c>
      <c r="O3143" s="3" t="inlineStr">
        <is>
          <t>김준희</t>
        </is>
      </c>
      <c r="P3143" s="4" t="n">
        <v>1</v>
      </c>
      <c r="Q3143" s="4" t="n">
        <v>289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사다리형</t>
        </is>
      </c>
      <c r="V3143" s="3" t="inlineStr">
        <is>
          <t>소로한면</t>
        </is>
      </c>
    </row>
    <row r="3144">
      <c r="A3144" s="3" t="inlineStr">
        <is>
          <t>조치원읍 서창리 138-2</t>
        </is>
      </c>
      <c r="B3144" s="3" t="inlineStr">
        <is>
          <t>제2종일반주거지역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85000</v>
      </c>
      <c r="G3144" s="4" t="n">
        <v>620</v>
      </c>
      <c r="H3144" s="4" t="n">
        <v>188</v>
      </c>
      <c r="I3144" s="5" t="n">
        <v>452.1</v>
      </c>
      <c r="J3144" s="5" t="n">
        <v>178.5</v>
      </c>
      <c r="K3144" s="3" t="inlineStr">
        <is>
          <t>서창리 2종일반주거,2차선접 코너 나대지 급매,원룸신축 추천</t>
        </is>
      </c>
      <c r="L3144" s="6">
        <f>HYPERLINK("https://fin.land.naver.com/articles/2655068847", "매물Link")</f>
        <v/>
      </c>
      <c r="M3144" s="6">
        <f>HYPERLINK("https://map.naver.com/p/search/조치원읍 서창리 138-2", "지도Link")</f>
        <v/>
      </c>
      <c r="N3144" s="6">
        <f>HYPERLINK("http://www.eum.go.kr/web/ar/lu/luLandDet.jsp?pnu=3611025034101380002&amp;isNoScr=script&amp;mode=search", "토지이음")</f>
        <v/>
      </c>
      <c r="O3144" s="3" t="inlineStr">
        <is>
          <t>광장</t>
        </is>
      </c>
      <c r="P3144" s="4" t="n">
        <v>1</v>
      </c>
      <c r="Q3144" s="4" t="n">
        <v>289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평지</t>
        </is>
      </c>
      <c r="U3144" s="3" t="inlineStr">
        <is>
          <t>사다리형</t>
        </is>
      </c>
      <c r="V3144" s="3" t="inlineStr">
        <is>
          <t>소로한면</t>
        </is>
      </c>
    </row>
    <row r="3145">
      <c r="A3145" s="3" t="inlineStr">
        <is>
          <t>조치원읍 서창리 138-5</t>
        </is>
      </c>
      <c r="B3145" s="3" t="inlineStr">
        <is>
          <t>제2종일반주거지역</t>
        </is>
      </c>
      <c r="C3145" s="3" t="inlineStr">
        <is>
          <t>전</t>
        </is>
      </c>
      <c r="D3145" s="3" t="inlineStr">
        <is>
          <t>전</t>
        </is>
      </c>
      <c r="E3145" s="3" t="inlineStr">
        <is>
          <t>매매</t>
        </is>
      </c>
      <c r="F3145" s="4" t="n">
        <v>85000</v>
      </c>
      <c r="G3145" s="4" t="n">
        <v>620</v>
      </c>
      <c r="H3145" s="4" t="n">
        <v>188</v>
      </c>
      <c r="I3145" s="5" t="n">
        <v>452.1</v>
      </c>
      <c r="J3145" s="5" t="n">
        <v>178.5</v>
      </c>
      <c r="K3145" s="3" t="inlineStr">
        <is>
          <t>2차선도로 및 후면도로에도 접한 제2종일반주거지역의 근린생활시설 상가부지</t>
        </is>
      </c>
      <c r="L3145" s="6">
        <f>HYPERLINK("https://fin.land.naver.com/articles/2656506448", "매물Link")</f>
        <v/>
      </c>
      <c r="M3145" s="6">
        <f>HYPERLINK("https://map.naver.com/p/search/조치원읍 서창리 138-5", "지도Link")</f>
        <v/>
      </c>
      <c r="N3145" s="6">
        <f>HYPERLINK("http://www.eum.go.kr/web/ar/lu/luLandDet.jsp?pnu=3611025034101380005&amp;isNoScr=script&amp;mode=search", "토지이음")</f>
        <v/>
      </c>
      <c r="O3145" s="3" t="inlineStr">
        <is>
          <t>스마일세종</t>
        </is>
      </c>
      <c r="P3145" s="4" t="n">
        <v>2</v>
      </c>
      <c r="Q3145" s="4" t="n">
        <v>331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평지</t>
        </is>
      </c>
      <c r="U3145" s="3" t="inlineStr">
        <is>
          <t>사다리형</t>
        </is>
      </c>
      <c r="V3145" s="3" t="inlineStr">
        <is>
          <t>소로한면</t>
        </is>
      </c>
    </row>
    <row r="3146">
      <c r="A3146" s="3" t="inlineStr">
        <is>
          <t>조치원읍 서창리 152-2</t>
        </is>
      </c>
      <c r="B3146" s="3" t="inlineStr">
        <is>
          <t>제2종일반주거지역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63000</v>
      </c>
      <c r="G3146" s="4" t="n">
        <v>328</v>
      </c>
      <c r="H3146" s="4" t="n">
        <v>99</v>
      </c>
      <c r="I3146" s="5" t="n">
        <v>636.4</v>
      </c>
      <c r="J3146" s="5" t="n">
        <v>237.3</v>
      </c>
      <c r="K3146" s="3" t="inlineStr">
        <is>
          <t>급매,고려대학교 인근,도로접 도시.2종일반주거지역,다용도 건축가능</t>
        </is>
      </c>
      <c r="L3146" s="6">
        <f>HYPERLINK("https://fin.land.naver.com/articles/2655574032", "매물Link")</f>
        <v/>
      </c>
      <c r="M3146" s="6">
        <f>HYPERLINK("https://map.naver.com/p/search/조치원읍 서창리 152-2", "지도Link")</f>
        <v/>
      </c>
      <c r="N3146" s="6">
        <f>HYPERLINK("http://www.eum.go.kr/web/ar/lu/luLandDet.jsp?pnu=3611025034101520002&amp;isNoScr=script&amp;mode=search", "토지이음")</f>
        <v/>
      </c>
      <c r="O3146" s="3" t="inlineStr">
        <is>
          <t>고운맘</t>
        </is>
      </c>
      <c r="P3146" s="4" t="n">
        <v>1</v>
      </c>
      <c r="Q3146" s="4" t="n">
        <v>328</v>
      </c>
      <c r="R3146" s="3" t="inlineStr">
        <is>
          <t>지정되지않음</t>
        </is>
      </c>
      <c r="S3146" s="3" t="inlineStr">
        <is>
          <t>단독</t>
        </is>
      </c>
      <c r="T3146" s="3" t="inlineStr">
        <is>
          <t>평지</t>
        </is>
      </c>
      <c r="U3146" s="3" t="inlineStr">
        <is>
          <t>사다리형</t>
        </is>
      </c>
      <c r="V3146" s="3" t="inlineStr">
        <is>
          <t>소로한면</t>
        </is>
      </c>
    </row>
    <row r="3147">
      <c r="A3147" s="3" t="inlineStr">
        <is>
          <t>조치원읍 서창리 168-2</t>
        </is>
      </c>
      <c r="B3147" s="3" t="inlineStr">
        <is>
          <t>준주거지역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120000</v>
      </c>
      <c r="G3147" s="4" t="n">
        <v>732</v>
      </c>
      <c r="H3147" s="4" t="n">
        <v>221</v>
      </c>
      <c r="I3147" s="5" t="n">
        <v>543</v>
      </c>
      <c r="J3147" s="5" t="n">
        <v>320.9</v>
      </c>
      <c r="K3147" s="3" t="inlineStr">
        <is>
          <t>준주거지역 추천매물 고대 정문근처</t>
        </is>
      </c>
      <c r="L3147" s="6">
        <f>HYPERLINK("https://fin.land.naver.com/articles/2653992281", "매물Link")</f>
        <v/>
      </c>
      <c r="M3147" s="6">
        <f>HYPERLINK("https://map.naver.com/p/search/조치원읍 서창리 168-2", "지도Link")</f>
        <v/>
      </c>
      <c r="N3147" s="6">
        <f>HYPERLINK("http://www.eum.go.kr/web/ar/lu/luLandDet.jsp?pnu=3611025034101680002&amp;isNoScr=script&amp;mode=search", "토지이음")</f>
        <v/>
      </c>
      <c r="O3147" s="3" t="inlineStr">
        <is>
          <t>김준희</t>
        </is>
      </c>
      <c r="P3147" s="4" t="n">
        <v>1</v>
      </c>
      <c r="Q3147" s="4" t="n">
        <v>732</v>
      </c>
      <c r="R3147" s="3" t="inlineStr">
        <is>
          <t>지정되지않음</t>
        </is>
      </c>
      <c r="S3147" s="3" t="inlineStr">
        <is>
          <t>주거기타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소로한면</t>
        </is>
      </c>
    </row>
    <row r="3148">
      <c r="A3148" s="3" t="inlineStr">
        <is>
          <t>조치원읍 서창리 168-2</t>
        </is>
      </c>
      <c r="B3148" s="3" t="inlineStr">
        <is>
          <t>준주거지역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120000</v>
      </c>
      <c r="G3148" s="4" t="n">
        <v>732</v>
      </c>
      <c r="H3148" s="4" t="n">
        <v>221</v>
      </c>
      <c r="I3148" s="5" t="n">
        <v>543</v>
      </c>
      <c r="J3148" s="5" t="n">
        <v>320.9</v>
      </c>
      <c r="K3148" s="3" t="inlineStr">
        <is>
          <t>근생부지로 좋은 고려대학교 인근 3거리 코너 각지에 있는 준주거지역 대지</t>
        </is>
      </c>
      <c r="L3148" s="6">
        <f>HYPERLINK("https://fin.land.naver.com/articles/2652409745", "매물Link")</f>
        <v/>
      </c>
      <c r="M3148" s="6">
        <f>HYPERLINK("https://map.naver.com/p/search/조치원읍 서창리 168-2", "지도Link")</f>
        <v/>
      </c>
      <c r="N3148" s="6">
        <f>HYPERLINK("http://www.eum.go.kr/web/ar/lu/luLandDet.jsp?pnu=3611025034101680002&amp;isNoScr=script&amp;mode=search", "토지이음")</f>
        <v/>
      </c>
      <c r="O3148" s="3" t="inlineStr">
        <is>
          <t>스마일세종</t>
        </is>
      </c>
      <c r="P3148" s="4" t="n">
        <v>1</v>
      </c>
      <c r="Q3148" s="4" t="n">
        <v>732</v>
      </c>
      <c r="R3148" s="3" t="inlineStr">
        <is>
          <t>지정되지않음</t>
        </is>
      </c>
      <c r="S3148" s="3" t="inlineStr">
        <is>
          <t>주거기타</t>
        </is>
      </c>
      <c r="T3148" s="3" t="inlineStr">
        <is>
          <t>평지</t>
        </is>
      </c>
      <c r="U3148" s="3" t="inlineStr">
        <is>
          <t>사다리형</t>
        </is>
      </c>
      <c r="V3148" s="3" t="inlineStr">
        <is>
          <t>소로한면</t>
        </is>
      </c>
    </row>
    <row r="3149">
      <c r="A3149" s="3" t="inlineStr">
        <is>
          <t>조치원읍 서창리 168-31</t>
        </is>
      </c>
      <c r="B3149" s="3" t="inlineStr">
        <is>
          <t>준주거지역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30000</v>
      </c>
      <c r="G3149" s="4" t="n">
        <v>148</v>
      </c>
      <c r="H3149" s="4" t="n">
        <v>45</v>
      </c>
      <c r="I3149" s="5" t="n">
        <v>666.7</v>
      </c>
      <c r="J3149" s="5" t="n">
        <v>307.9</v>
      </c>
      <c r="K3149" s="3" t="inlineStr">
        <is>
          <t>급매, 서창리 준주거지역 토지</t>
        </is>
      </c>
      <c r="L3149" s="6">
        <f>HYPERLINK("https://fin.land.naver.com/articles/2653950500", "매물Link")</f>
        <v/>
      </c>
      <c r="M3149" s="6">
        <f>HYPERLINK("https://map.naver.com/p/search/조치원읍 서창리 168-31", "지도Link")</f>
        <v/>
      </c>
      <c r="N3149" s="6">
        <f>HYPERLINK("http://www.eum.go.kr/web/ar/lu/luLandDet.jsp?pnu=3611025034101680031&amp;isNoScr=script&amp;mode=search", "토지이음")</f>
        <v/>
      </c>
      <c r="O3149" s="3" t="inlineStr">
        <is>
          <t>KB세종</t>
        </is>
      </c>
      <c r="P3149" s="4" t="n">
        <v>1</v>
      </c>
      <c r="Q3149" s="4" t="n">
        <v>148</v>
      </c>
      <c r="R3149" s="3" t="inlineStr">
        <is>
          <t>지정되지않음</t>
        </is>
      </c>
      <c r="S3149" s="3" t="inlineStr">
        <is>
          <t>단독</t>
        </is>
      </c>
      <c r="T3149" s="3" t="inlineStr">
        <is>
          <t>평지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조치원읍 서창리 182-16</t>
        </is>
      </c>
      <c r="B3150" s="3" t="inlineStr">
        <is>
          <t>제1종일반주거지역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29000</v>
      </c>
      <c r="G3150" s="4" t="n">
        <v>446</v>
      </c>
      <c r="H3150" s="4" t="n">
        <v>135</v>
      </c>
      <c r="I3150" s="5" t="n">
        <v>214.8</v>
      </c>
      <c r="J3150" s="5" t="n">
        <v>201.7</v>
      </c>
      <c r="K3150" s="3" t="inlineStr">
        <is>
          <t>nan</t>
        </is>
      </c>
      <c r="L3150" s="6">
        <f>HYPERLINK("https://fin.land.naver.com/articles/2656152585", "매물Link")</f>
        <v/>
      </c>
      <c r="M3150" s="6">
        <f>HYPERLINK("https://map.naver.com/p/search/조치원읍 서창리 182-16", "지도Link")</f>
        <v/>
      </c>
      <c r="N3150" s="6">
        <f>HYPERLINK("http://www.eum.go.kr/web/ar/lu/luLandDet.jsp?pnu=3611025034101820016&amp;isNoScr=script&amp;mode=search", "토지이음")</f>
        <v/>
      </c>
      <c r="O3150" s="3" t="inlineStr">
        <is>
          <t>찬스</t>
        </is>
      </c>
      <c r="P3150" s="4" t="n">
        <v>1</v>
      </c>
      <c r="Q3150" s="4" t="n">
        <v>446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조치원읍 서창리 248-18</t>
        </is>
      </c>
      <c r="B3151" s="3" t="inlineStr">
        <is>
          <t>자연녹지지역</t>
        </is>
      </c>
      <c r="C3151" s="3" t="inlineStr">
        <is>
          <t>과수원</t>
        </is>
      </c>
      <c r="D3151" s="3" t="inlineStr">
        <is>
          <t>과수원</t>
        </is>
      </c>
      <c r="E3151" s="3" t="inlineStr">
        <is>
          <t>매매</t>
        </is>
      </c>
      <c r="F3151" s="4" t="n">
        <v>58000</v>
      </c>
      <c r="G3151" s="4" t="n">
        <v>713</v>
      </c>
      <c r="H3151" s="4" t="n">
        <v>216</v>
      </c>
      <c r="I3151" s="5" t="n">
        <v>268.5</v>
      </c>
      <c r="J3151" s="5" t="n">
        <v>103.3</v>
      </c>
      <c r="K3151" s="3" t="inlineStr">
        <is>
          <t>세종여고 인근 토지매매</t>
        </is>
      </c>
      <c r="L3151" s="6">
        <f>HYPERLINK("https://fin.land.naver.com/articles/2654530627", "매물Link")</f>
        <v/>
      </c>
      <c r="M3151" s="6">
        <f>HYPERLINK("https://map.naver.com/p/search/조치원읍 서창리 248-18", "지도Link")</f>
        <v/>
      </c>
      <c r="N3151" s="6">
        <f>HYPERLINK("http://www.eum.go.kr/web/ar/lu/luLandDet.jsp?pnu=3611025034102480018&amp;isNoScr=script&amp;mode=search", "토지이음")</f>
        <v/>
      </c>
      <c r="O3151" s="3" t="inlineStr">
        <is>
          <t>김준희</t>
        </is>
      </c>
      <c r="P3151" s="4" t="n">
        <v>1</v>
      </c>
      <c r="Q3151" s="4" t="n">
        <v>377</v>
      </c>
      <c r="R3151" s="3" t="inlineStr">
        <is>
          <t>지정되지않음</t>
        </is>
      </c>
      <c r="S3151" s="3" t="inlineStr">
        <is>
          <t>과수원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소로한면</t>
        </is>
      </c>
    </row>
    <row r="3152">
      <c r="A3152" s="3" t="inlineStr">
        <is>
          <t>조치원읍 서창리 250</t>
        </is>
      </c>
      <c r="B3152" s="3" t="inlineStr">
        <is>
          <t>제2종일반주거지역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90000</v>
      </c>
      <c r="G3152" s="4" t="n">
        <v>540</v>
      </c>
      <c r="H3152" s="4" t="n">
        <v>163</v>
      </c>
      <c r="I3152" s="5" t="n">
        <v>552.1</v>
      </c>
      <c r="J3152" s="5" t="n">
        <v>184.3</v>
      </c>
      <c r="K3152" s="3" t="inlineStr">
        <is>
          <t>조치원 서창리 제2종일반주거지역 코너각지 토지매매</t>
        </is>
      </c>
      <c r="L3152" s="6">
        <f>HYPERLINK("https://fin.land.naver.com/articles/2654445705", "매물Link")</f>
        <v/>
      </c>
      <c r="M3152" s="6">
        <f>HYPERLINK("https://map.naver.com/p/search/조치원읍 서창리 250", "지도Link")</f>
        <v/>
      </c>
      <c r="N3152" s="6">
        <f>HYPERLINK("http://www.eum.go.kr/web/ar/lu/luLandDet.jsp?pnu=3611025034102500000&amp;isNoScr=script&amp;mode=search", "토지이음")</f>
        <v/>
      </c>
      <c r="O3152" s="3" t="inlineStr">
        <is>
          <t>the다올</t>
        </is>
      </c>
      <c r="P3152" s="4" t="n">
        <v>2</v>
      </c>
      <c r="Q3152" s="4" t="n">
        <v>540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사다리형</t>
        </is>
      </c>
      <c r="V3152" s="3" t="inlineStr">
        <is>
          <t>소로각지</t>
        </is>
      </c>
    </row>
    <row r="3153">
      <c r="A3153" s="3" t="inlineStr">
        <is>
          <t>조치원읍 서창리 26-3</t>
        </is>
      </c>
      <c r="B3153" s="3" t="inlineStr">
        <is>
          <t>자연녹지지역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76650</v>
      </c>
      <c r="G3153" s="4" t="n">
        <v>724</v>
      </c>
      <c r="H3153" s="4" t="n">
        <v>219</v>
      </c>
      <c r="I3153" s="5" t="n">
        <v>350</v>
      </c>
      <c r="J3153" s="5" t="n">
        <v>148.7</v>
      </c>
      <c r="K3153" s="3" t="inlineStr">
        <is>
          <t>시세보다 저렴하며,
근생 및 단독주택, 월세 90만원</t>
        </is>
      </c>
      <c r="L3153" s="6">
        <f>HYPERLINK("https://fin.land.naver.com/articles/2652026776", "매물Link")</f>
        <v/>
      </c>
      <c r="M3153" s="6">
        <f>HYPERLINK("https://map.naver.com/p/search/조치원읍 서창리 26-3", "지도Link")</f>
        <v/>
      </c>
      <c r="N3153" s="6">
        <f>HYPERLINK("http://www.eum.go.kr/web/ar/lu/luLandDet.jsp?pnu=3611025034100260003&amp;isNoScr=script&amp;mode=search", "토지이음")</f>
        <v/>
      </c>
      <c r="O3153" s="3" t="inlineStr">
        <is>
          <t>세종땅전문</t>
        </is>
      </c>
      <c r="P3153" s="4" t="n">
        <v>1</v>
      </c>
      <c r="Q3153" s="4" t="n">
        <v>724</v>
      </c>
      <c r="R3153" s="3" t="inlineStr">
        <is>
          <t>지정되지않음</t>
        </is>
      </c>
      <c r="S3153" s="3" t="inlineStr">
        <is>
          <t>주거기타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소로한면</t>
        </is>
      </c>
    </row>
    <row r="3154">
      <c r="A3154" s="3" t="inlineStr">
        <is>
          <t>조치원읍 서창리 291-8</t>
        </is>
      </c>
      <c r="B3154" s="3" t="inlineStr">
        <is>
          <t>제2종일반주거지역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55000</v>
      </c>
      <c r="G3154" s="4" t="n">
        <v>299</v>
      </c>
      <c r="H3154" s="4" t="n">
        <v>90</v>
      </c>
      <c r="I3154" s="5" t="n">
        <v>611.1</v>
      </c>
      <c r="J3154" s="5" t="n">
        <v>348.4</v>
      </c>
      <c r="K3154" s="3" t="inlineStr">
        <is>
          <t>서창리 다가구주택이나 상가를 지을수 있는 제2종일반주거지역의 대지입니다</t>
        </is>
      </c>
      <c r="L3154" s="6">
        <f>HYPERLINK("https://fin.land.naver.com/articles/2653589519", "매물Link")</f>
        <v/>
      </c>
      <c r="M3154" s="6">
        <f>HYPERLINK("https://map.naver.com/p/search/조치원읍 서창리 291-8", "지도Link")</f>
        <v/>
      </c>
      <c r="N3154" s="6">
        <f>HYPERLINK("http://www.eum.go.kr/web/ar/lu/luLandDet.jsp?pnu=3611025034102910008&amp;isNoScr=script&amp;mode=search", "토지이음")</f>
        <v/>
      </c>
      <c r="O3154" s="3" t="inlineStr">
        <is>
          <t>스마일세종</t>
        </is>
      </c>
      <c r="P3154" s="4" t="n">
        <v>1</v>
      </c>
      <c r="Q3154" s="4" t="n">
        <v>299</v>
      </c>
      <c r="R3154" s="3" t="inlineStr">
        <is>
          <t>지정되지않음</t>
        </is>
      </c>
      <c r="S3154" s="3" t="inlineStr">
        <is>
          <t>주상기타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소로각지</t>
        </is>
      </c>
    </row>
    <row r="3155">
      <c r="A3155" s="3" t="inlineStr">
        <is>
          <t>조치원읍 서창리 293-4</t>
        </is>
      </c>
      <c r="B3155" s="3" t="inlineStr">
        <is>
          <t>제2종일반주거지역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24638</v>
      </c>
      <c r="G3155" s="4" t="n">
        <v>181</v>
      </c>
      <c r="H3155" s="4" t="n">
        <v>55</v>
      </c>
      <c r="I3155" s="5" t="n">
        <v>448</v>
      </c>
      <c r="J3155" s="5" t="n">
        <v>289.3</v>
      </c>
      <c r="K3155" s="3" t="inlineStr">
        <is>
          <t>nan</t>
        </is>
      </c>
      <c r="L3155" s="6">
        <f>HYPERLINK("https://fin.land.naver.com/articles/2652217321", "매물Link")</f>
        <v/>
      </c>
      <c r="M3155" s="6">
        <f>HYPERLINK("https://map.naver.com/p/search/조치원읍 서창리 293-4", "지도Link")</f>
        <v/>
      </c>
      <c r="N3155" s="6">
        <f>HYPERLINK("http://www.eum.go.kr/web/ar/lu/luLandDet.jsp?pnu=3611025034102930004&amp;isNoScr=script&amp;mode=search", "토지이음")</f>
        <v/>
      </c>
      <c r="O3155" s="3" t="inlineStr">
        <is>
          <t>한일</t>
        </is>
      </c>
      <c r="P3155" s="4" t="n">
        <v>1</v>
      </c>
      <c r="Q3155" s="4" t="n">
        <v>181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세로한면(가)</t>
        </is>
      </c>
    </row>
    <row r="3156">
      <c r="A3156" s="3" t="inlineStr">
        <is>
          <t>조치원읍 서창리 306</t>
        </is>
      </c>
      <c r="B3156" s="3" t="inlineStr">
        <is>
          <t>준주거지역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221000</v>
      </c>
      <c r="G3156" s="4" t="n">
        <v>731</v>
      </c>
      <c r="H3156" s="4" t="n">
        <v>221</v>
      </c>
      <c r="I3156" s="5" t="n">
        <v>1000</v>
      </c>
      <c r="J3156" s="5" t="n">
        <v>274.4</v>
      </c>
      <c r="K3156" s="3" t="inlineStr">
        <is>
          <t>조치원서북부지구 가치상승. 투자가치 우수.</t>
        </is>
      </c>
      <c r="L3156" s="6">
        <f>HYPERLINK("https://fin.land.naver.com/articles/2652222097", "매물Link")</f>
        <v/>
      </c>
      <c r="M3156" s="6">
        <f>HYPERLINK("https://map.naver.com/p/search/조치원읍 서창리 306", "지도Link")</f>
        <v/>
      </c>
      <c r="N3156" s="6">
        <f>HYPERLINK("http://www.eum.go.kr/web/ar/lu/luLandDet.jsp?pnu=3611025034103060000&amp;isNoScr=script&amp;mode=search", "토지이음")</f>
        <v/>
      </c>
      <c r="O3156" s="3" t="inlineStr">
        <is>
          <t>진행</t>
        </is>
      </c>
      <c r="P3156" s="4" t="n">
        <v>1</v>
      </c>
      <c r="Q3156" s="4" t="n">
        <v>731</v>
      </c>
      <c r="R3156" s="3" t="inlineStr">
        <is>
          <t>지정되지않음</t>
        </is>
      </c>
      <c r="S3156" s="3" t="inlineStr">
        <is>
          <t>상업나지</t>
        </is>
      </c>
      <c r="T3156" s="3" t="inlineStr">
        <is>
          <t>평지</t>
        </is>
      </c>
      <c r="U3156" s="3" t="inlineStr">
        <is>
          <t>가로장방</t>
        </is>
      </c>
      <c r="V3156" s="3" t="inlineStr">
        <is>
          <t>중로각지</t>
        </is>
      </c>
    </row>
    <row r="3157">
      <c r="A3157" s="3" t="inlineStr">
        <is>
          <t>조치원읍 서창리 54-1</t>
        </is>
      </c>
      <c r="B3157" s="3" t="inlineStr">
        <is>
          <t>자연녹지지역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165000</v>
      </c>
      <c r="G3157" s="4" t="n">
        <v>915</v>
      </c>
      <c r="H3157" s="4" t="n">
        <v>277</v>
      </c>
      <c r="I3157" s="5" t="n">
        <v>595.7</v>
      </c>
      <c r="J3157" s="5" t="n">
        <v>113.6</v>
      </c>
      <c r="K3157" s="3" t="inlineStr">
        <is>
          <t>nan</t>
        </is>
      </c>
      <c r="L3157" s="6">
        <f>HYPERLINK("https://fin.land.naver.com/articles/2651060447", "매물Link")</f>
        <v/>
      </c>
      <c r="M3157" s="6">
        <f>HYPERLINK("https://map.naver.com/p/search/조치원읍 서창리 54-1", "지도Link")</f>
        <v/>
      </c>
      <c r="N3157" s="6">
        <f>HYPERLINK("http://www.eum.go.kr/web/ar/lu/luLandDet.jsp?pnu=3611025034100540001&amp;isNoScr=script&amp;mode=search", "토지이음")</f>
        <v/>
      </c>
      <c r="O3157" s="3" t="inlineStr">
        <is>
          <t>세종문화길</t>
        </is>
      </c>
      <c r="P3157" s="4" t="n">
        <v>1</v>
      </c>
      <c r="Q3157" s="4" t="n">
        <v>915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광대로한면</t>
        </is>
      </c>
    </row>
    <row r="3158">
      <c r="A3158" s="3" t="inlineStr">
        <is>
          <t>조치원읍 서창리 93-20</t>
        </is>
      </c>
      <c r="B3158" s="3" t="inlineStr">
        <is>
          <t>자연녹지지역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150000</v>
      </c>
      <c r="G3158" s="4" t="n">
        <v>2921</v>
      </c>
      <c r="H3158" s="4" t="n">
        <v>884</v>
      </c>
      <c r="I3158" s="5" t="n">
        <v>169.7</v>
      </c>
      <c r="J3158" s="5" t="n">
        <v>59.7</v>
      </c>
      <c r="K3158" s="3" t="inlineStr">
        <is>
          <t>조치원 생활권 평탄 대형부지 소형창고 차량보관시설 검토</t>
        </is>
      </c>
      <c r="L3158" s="6">
        <f>HYPERLINK("https://fin.land.naver.com/articles/2656191102", "매물Link")</f>
        <v/>
      </c>
      <c r="M3158" s="6">
        <f>HYPERLINK("https://map.naver.com/p/search/조치원읍 서창리 93-20", "지도Link")</f>
        <v/>
      </c>
      <c r="N3158" s="6">
        <f>HYPERLINK("http://www.eum.go.kr/web/ar/lu/luLandDet.jsp?pnu=3611025034100930020&amp;isNoScr=script&amp;mode=search", "토지이음")</f>
        <v/>
      </c>
      <c r="O3158" s="3" t="inlineStr">
        <is>
          <t>세종소담황금</t>
        </is>
      </c>
      <c r="P3158" s="4" t="n">
        <v>1</v>
      </c>
      <c r="Q3158" s="4" t="n">
        <v>2575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맹지</t>
        </is>
      </c>
    </row>
    <row r="3159">
      <c r="A3159" s="3" t="inlineStr">
        <is>
          <t>조치원읍 서창리 93-20</t>
        </is>
      </c>
      <c r="B3159" s="3" t="inlineStr">
        <is>
          <t>자연녹지지역</t>
        </is>
      </c>
      <c r="C3159" s="3" t="inlineStr">
        <is>
          <t>답</t>
        </is>
      </c>
      <c r="D3159" s="3" t="inlineStr">
        <is>
          <t>답</t>
        </is>
      </c>
      <c r="E3159" s="3" t="inlineStr">
        <is>
          <t>매매</t>
        </is>
      </c>
      <c r="F3159" s="4" t="n">
        <v>150000</v>
      </c>
      <c r="G3159" s="4" t="n">
        <v>2921</v>
      </c>
      <c r="H3159" s="4" t="n">
        <v>884</v>
      </c>
      <c r="I3159" s="5" t="n">
        <v>169.7</v>
      </c>
      <c r="J3159" s="5" t="n">
        <v>59.7</v>
      </c>
      <c r="K3159" s="3" t="inlineStr">
        <is>
          <t>토지급매 조치원역 인근 대규모 부지 정비소, 세차장, 요양원 추천</t>
        </is>
      </c>
      <c r="L3159" s="6">
        <f>HYPERLINK("https://fin.land.naver.com/articles/2652108627", "매물Link")</f>
        <v/>
      </c>
      <c r="M3159" s="6">
        <f>HYPERLINK("https://map.naver.com/p/search/조치원읍 서창리 93-20", "지도Link")</f>
        <v/>
      </c>
      <c r="N3159" s="6">
        <f>HYPERLINK("http://www.eum.go.kr/web/ar/lu/luLandDet.jsp?pnu=3611025034100930020&amp;isNoScr=script&amp;mode=search", "토지이음")</f>
        <v/>
      </c>
      <c r="O3159" s="3" t="inlineStr">
        <is>
          <t>다모아</t>
        </is>
      </c>
      <c r="P3159" s="4" t="n">
        <v>1</v>
      </c>
      <c r="Q3159" s="4" t="n">
        <v>2575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평지</t>
        </is>
      </c>
      <c r="U3159" s="3" t="inlineStr">
        <is>
          <t>부정형</t>
        </is>
      </c>
      <c r="V3159" s="3" t="inlineStr">
        <is>
          <t>맹지</t>
        </is>
      </c>
    </row>
    <row r="3160">
      <c r="A3160" s="3" t="inlineStr">
        <is>
          <t>조치원읍 서창리 93-20</t>
        </is>
      </c>
      <c r="B3160" s="3" t="inlineStr">
        <is>
          <t>자연녹지지역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180000</v>
      </c>
      <c r="G3160" s="4" t="n">
        <v>2921</v>
      </c>
      <c r="H3160" s="4" t="n">
        <v>884</v>
      </c>
      <c r="I3160" s="5" t="n">
        <v>203.6</v>
      </c>
      <c r="J3160" s="5" t="n">
        <v>59.7</v>
      </c>
      <c r="K3160" s="3" t="inlineStr">
        <is>
          <t>3필지 일괄매매</t>
        </is>
      </c>
      <c r="L3160" s="6">
        <f>HYPERLINK("https://fin.land.naver.com/articles/2652420151", "매물Link")</f>
        <v/>
      </c>
      <c r="M3160" s="6">
        <f>HYPERLINK("https://map.naver.com/p/search/조치원읍 서창리 93-20", "지도Link")</f>
        <v/>
      </c>
      <c r="N3160" s="6">
        <f>HYPERLINK("http://www.eum.go.kr/web/ar/lu/luLandDet.jsp?pnu=3611025034100930020&amp;isNoScr=script&amp;mode=search", "토지이음")</f>
        <v/>
      </c>
      <c r="O3160" s="3" t="inlineStr">
        <is>
          <t>오송좋은날</t>
        </is>
      </c>
      <c r="P3160" s="4" t="n">
        <v>1</v>
      </c>
      <c r="Q3160" s="4" t="n">
        <v>2575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맹지</t>
        </is>
      </c>
    </row>
    <row r="3161">
      <c r="A3161" s="3" t="inlineStr">
        <is>
          <t>조치원읍 서창리 93-20</t>
        </is>
      </c>
      <c r="B3161" s="3" t="inlineStr">
        <is>
          <t>자연녹지지역</t>
        </is>
      </c>
      <c r="C3161" s="3" t="inlineStr">
        <is>
          <t>답</t>
        </is>
      </c>
      <c r="D3161" s="3" t="inlineStr">
        <is>
          <t>답</t>
        </is>
      </c>
      <c r="E3161" s="3" t="inlineStr">
        <is>
          <t>매매</t>
        </is>
      </c>
      <c r="F3161" s="4" t="n">
        <v>150000</v>
      </c>
      <c r="G3161" s="4" t="n">
        <v>2921</v>
      </c>
      <c r="H3161" s="4" t="n">
        <v>884</v>
      </c>
      <c r="I3161" s="5" t="n">
        <v>169.7</v>
      </c>
      <c r="J3161" s="5" t="n">
        <v>59.7</v>
      </c>
      <c r="K3161" s="3" t="inlineStr">
        <is>
          <t>서창리 도시지역 자연녹지지역으로 자동차 정비소, 요양원으로 적합한 토지</t>
        </is>
      </c>
      <c r="L3161" s="6">
        <f>HYPERLINK("https://fin.land.naver.com/articles/2655815905", "매물Link")</f>
        <v/>
      </c>
      <c r="M3161" s="6">
        <f>HYPERLINK("https://map.naver.com/p/search/조치원읍 서창리 93-20", "지도Link")</f>
        <v/>
      </c>
      <c r="N3161" s="6">
        <f>HYPERLINK("http://www.eum.go.kr/web/ar/lu/luLandDet.jsp?pnu=3611025034100930020&amp;isNoScr=script&amp;mode=search", "토지이음")</f>
        <v/>
      </c>
      <c r="O3161" s="3" t="inlineStr">
        <is>
          <t>스마일세종</t>
        </is>
      </c>
      <c r="P3161" s="4" t="n">
        <v>3</v>
      </c>
      <c r="Q3161" s="4" t="n">
        <v>2575</v>
      </c>
      <c r="R3161" s="3" t="inlineStr">
        <is>
          <t>지정되지않음</t>
        </is>
      </c>
      <c r="S3161" s="3" t="inlineStr">
        <is>
          <t>답</t>
        </is>
      </c>
      <c r="T3161" s="3" t="inlineStr">
        <is>
          <t>평지</t>
        </is>
      </c>
      <c r="U3161" s="3" t="inlineStr">
        <is>
          <t>부정형</t>
        </is>
      </c>
      <c r="V3161" s="3" t="inlineStr">
        <is>
          <t>맹지</t>
        </is>
      </c>
    </row>
    <row r="3162">
      <c r="A3162" s="3" t="inlineStr">
        <is>
          <t>조치원읍 서창리 95-3</t>
        </is>
      </c>
      <c r="B3162" s="3" t="inlineStr">
        <is>
          <t>자연녹지지역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120000</v>
      </c>
      <c r="G3162" s="4" t="n">
        <v>1293</v>
      </c>
      <c r="H3162" s="4" t="n">
        <v>391</v>
      </c>
      <c r="I3162" s="5" t="n">
        <v>306.9</v>
      </c>
      <c r="J3162" s="5" t="n">
        <v>157.6</v>
      </c>
      <c r="K3162" s="3" t="inlineStr">
        <is>
          <t>서창리 토지 매매 자연녹지</t>
        </is>
      </c>
      <c r="L3162" s="6">
        <f>HYPERLINK("https://fin.land.naver.com/articles/2653992204", "매물Link")</f>
        <v/>
      </c>
      <c r="M3162" s="6">
        <f>HYPERLINK("https://map.naver.com/p/search/조치원읍 서창리 95-3", "지도Link")</f>
        <v/>
      </c>
      <c r="N3162" s="6">
        <f>HYPERLINK("http://www.eum.go.kr/web/ar/lu/luLandDet.jsp?pnu=3611025034100950003&amp;isNoScr=script&amp;mode=search", "토지이음")</f>
        <v/>
      </c>
      <c r="O3162" s="3" t="inlineStr">
        <is>
          <t>김준희</t>
        </is>
      </c>
      <c r="P3162" s="4" t="n">
        <v>1</v>
      </c>
      <c r="Q3162" s="4" t="n">
        <v>255</v>
      </c>
      <c r="R3162" s="3" t="inlineStr">
        <is>
          <t>제1종일반주거지역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사다리형</t>
        </is>
      </c>
      <c r="V3162" s="3" t="inlineStr">
        <is>
          <t>중로한면</t>
        </is>
      </c>
    </row>
    <row r="3163">
      <c r="A3163" s="3" t="inlineStr">
        <is>
          <t>조치원읍 신안리 171-7</t>
        </is>
      </c>
      <c r="B3163" s="3" t="inlineStr">
        <is>
          <t>자연녹지지역</t>
        </is>
      </c>
      <c r="C3163" s="3" t="inlineStr">
        <is>
          <t>전</t>
        </is>
      </c>
      <c r="D3163" s="3" t="inlineStr">
        <is>
          <t>전</t>
        </is>
      </c>
      <c r="E3163" s="3" t="inlineStr">
        <is>
          <t>매매</t>
        </is>
      </c>
      <c r="F3163" s="4" t="n">
        <v>57000</v>
      </c>
      <c r="G3163" s="4" t="n">
        <v>1046</v>
      </c>
      <c r="H3163" s="4" t="n">
        <v>316</v>
      </c>
      <c r="I3163" s="5" t="n">
        <v>180.4</v>
      </c>
      <c r="J3163" s="5" t="n">
        <v>108.5</v>
      </c>
      <c r="K3163" s="3" t="inlineStr">
        <is>
          <t>세종 조치원읍 성장관리계획구역 토지 매매</t>
        </is>
      </c>
      <c r="L3163" s="6">
        <f>HYPERLINK("https://fin.land.naver.com/articles/2656637758", "매물Link")</f>
        <v/>
      </c>
      <c r="M3163" s="6">
        <f>HYPERLINK("https://map.naver.com/p/search/조치원읍 신안리 171-7", "지도Link")</f>
        <v/>
      </c>
      <c r="N3163" s="6">
        <f>HYPERLINK("http://www.eum.go.kr/web/ar/lu/luLandDet.jsp?pnu=3611025032101710007&amp;isNoScr=script&amp;mode=search", "토지이음")</f>
        <v/>
      </c>
      <c r="O3163" s="3" t="inlineStr">
        <is>
          <t>세종몽땅</t>
        </is>
      </c>
      <c r="P3163" s="4" t="n">
        <v>1</v>
      </c>
      <c r="Q3163" s="4" t="n">
        <v>1046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세로한면(가)</t>
        </is>
      </c>
    </row>
    <row r="3164">
      <c r="A3164" s="3" t="inlineStr">
        <is>
          <t>조치원읍 신안리 179-5</t>
        </is>
      </c>
      <c r="B3164" s="3" t="inlineStr">
        <is>
          <t>자연녹지지역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40000</v>
      </c>
      <c r="G3164" s="4" t="n">
        <v>386</v>
      </c>
      <c r="H3164" s="4" t="n">
        <v>117</v>
      </c>
      <c r="I3164" s="5" t="n">
        <v>341.9</v>
      </c>
      <c r="J3164" s="5" t="n">
        <v>171.6</v>
      </c>
      <c r="K3164" s="3" t="inlineStr">
        <is>
          <t>l S l 홍익대세종캠퍼스 인근 l 자연녹지 l 자연취락지구 l</t>
        </is>
      </c>
      <c r="L3164" s="6">
        <f>HYPERLINK("https://fin.land.naver.com/articles/2656370454", "매물Link")</f>
        <v/>
      </c>
      <c r="M3164" s="6">
        <f>HYPERLINK("https://map.naver.com/p/search/조치원읍 신안리 179-5", "지도Link")</f>
        <v/>
      </c>
      <c r="N3164" s="6">
        <f>HYPERLINK("http://www.eum.go.kr/web/ar/lu/luLandDet.jsp?pnu=3611025032101790005&amp;isNoScr=script&amp;mode=search", "토지이음")</f>
        <v/>
      </c>
      <c r="O3164" s="3" t="inlineStr">
        <is>
          <t>에스</t>
        </is>
      </c>
      <c r="P3164" s="4" t="n">
        <v>1</v>
      </c>
      <c r="Q3164" s="4" t="n">
        <v>386</v>
      </c>
      <c r="R3164" s="3" t="inlineStr">
        <is>
          <t>지정되지않음</t>
        </is>
      </c>
      <c r="S3164" s="3" t="inlineStr">
        <is>
          <t>단독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세로한면(가)</t>
        </is>
      </c>
    </row>
    <row r="3165">
      <c r="A3165" s="3" t="inlineStr">
        <is>
          <t>조치원읍 신안리 193-2</t>
        </is>
      </c>
      <c r="B3165" s="3" t="inlineStr">
        <is>
          <t>자연녹지지역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46000</v>
      </c>
      <c r="G3165" s="4" t="n">
        <v>529</v>
      </c>
      <c r="H3165" s="4" t="n">
        <v>160</v>
      </c>
      <c r="I3165" s="5" t="n">
        <v>287.5</v>
      </c>
      <c r="J3165" s="5" t="n">
        <v>147.6</v>
      </c>
      <c r="K3165" s="3" t="inlineStr">
        <is>
          <t>급매,국도1호선 서창역 인근 알토란 나대지,월룸.단독주택.투자용추천</t>
        </is>
      </c>
      <c r="L3165" s="6">
        <f>HYPERLINK("https://fin.land.naver.com/articles/2651742010", "매물Link")</f>
        <v/>
      </c>
      <c r="M3165" s="6">
        <f>HYPERLINK("https://map.naver.com/p/search/조치원읍 신안리 193-2", "지도Link")</f>
        <v/>
      </c>
      <c r="N3165" s="6">
        <f>HYPERLINK("http://www.eum.go.kr/web/ar/lu/luLandDet.jsp?pnu=3611025032101930002&amp;isNoScr=script&amp;mode=search", "토지이음")</f>
        <v/>
      </c>
      <c r="O3165" s="3" t="inlineStr">
        <is>
          <t>고운맘</t>
        </is>
      </c>
      <c r="P3165" s="4" t="n">
        <v>1</v>
      </c>
      <c r="Q3165" s="4" t="n">
        <v>397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부정형</t>
        </is>
      </c>
      <c r="V3165" s="3" t="inlineStr">
        <is>
          <t>세로한면(불)</t>
        </is>
      </c>
    </row>
    <row r="3166">
      <c r="A3166" s="3" t="inlineStr">
        <is>
          <t>조치원읍 신안리 243-10</t>
        </is>
      </c>
      <c r="B3166" s="3" t="inlineStr">
        <is>
          <t>자연녹지지역</t>
        </is>
      </c>
      <c r="C3166" s="3" t="inlineStr">
        <is>
          <t>과수원</t>
        </is>
      </c>
      <c r="D3166" s="3" t="inlineStr">
        <is>
          <t>과수원</t>
        </is>
      </c>
      <c r="E3166" s="3" t="inlineStr">
        <is>
          <t>매매</t>
        </is>
      </c>
      <c r="F3166" s="4" t="n">
        <v>98000</v>
      </c>
      <c r="G3166" s="4" t="n">
        <v>1620</v>
      </c>
      <c r="H3166" s="4" t="n">
        <v>490</v>
      </c>
      <c r="I3166" s="5" t="n">
        <v>200</v>
      </c>
      <c r="J3166" s="5" t="n">
        <v>76.5</v>
      </c>
      <c r="K3166" s="3" t="inlineStr">
        <is>
          <t>서창역세권 개발예정지, 홍익대학교 인접, 철도보호지구</t>
        </is>
      </c>
      <c r="L3166" s="6">
        <f>HYPERLINK("https://fin.land.naver.com/articles/2652107211", "매물Link")</f>
        <v/>
      </c>
      <c r="M3166" s="6">
        <f>HYPERLINK("https://map.naver.com/p/search/조치원읍 신안리 243-10", "지도Link")</f>
        <v/>
      </c>
      <c r="N3166" s="6">
        <f>HYPERLINK("http://www.eum.go.kr/web/ar/lu/luLandDet.jsp?pnu=3611025032102430010&amp;isNoScr=script&amp;mode=search", "토지이음")</f>
        <v/>
      </c>
      <c r="O3166" s="3" t="inlineStr">
        <is>
          <t>미스터홈즈강남지사</t>
        </is>
      </c>
      <c r="P3166" s="4" t="n">
        <v>1</v>
      </c>
      <c r="Q3166" s="4" t="n">
        <v>1620</v>
      </c>
      <c r="R3166" s="3" t="inlineStr">
        <is>
          <t>지정되지않음</t>
        </is>
      </c>
      <c r="S3166" s="3" t="inlineStr">
        <is>
          <t>과수원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세로한면(불)</t>
        </is>
      </c>
    </row>
    <row r="3167">
      <c r="A3167" s="3" t="inlineStr">
        <is>
          <t>조치원읍 신안리 253-5</t>
        </is>
      </c>
      <c r="B3167" s="3" t="inlineStr">
        <is>
          <t>자연녹지지역</t>
        </is>
      </c>
      <c r="C3167" s="3" t="inlineStr">
        <is>
          <t>공장용지</t>
        </is>
      </c>
      <c r="D3167" s="3" t="inlineStr">
        <is>
          <t>대</t>
        </is>
      </c>
      <c r="E3167" s="3" t="inlineStr">
        <is>
          <t>월세</t>
        </is>
      </c>
      <c r="F3167" s="4" t="n">
        <v>3000</v>
      </c>
      <c r="G3167" s="4" t="n">
        <v>1157</v>
      </c>
      <c r="H3167" s="4" t="n">
        <v>350</v>
      </c>
      <c r="I3167" s="5" t="n">
        <v>0.5</v>
      </c>
      <c r="J3167" s="5" t="n">
        <v>117.6</v>
      </c>
      <c r="K3167" s="3" t="inlineStr">
        <is>
          <t>nan</t>
        </is>
      </c>
      <c r="L3167" s="6">
        <f>HYPERLINK("https://fin.land.naver.com/articles/2655744390", "매물Link")</f>
        <v/>
      </c>
      <c r="M3167" s="6">
        <f>HYPERLINK("https://map.naver.com/p/search/조치원읍 신안리 253-5", "지도Link")</f>
        <v/>
      </c>
      <c r="N3167" s="6">
        <f>HYPERLINK("http://www.eum.go.kr/web/ar/lu/luLandDet.jsp?pnu=3611025032102530005&amp;isNoScr=script&amp;mode=search", "토지이음")</f>
        <v/>
      </c>
      <c r="O3167" s="3" t="inlineStr">
        <is>
          <t>신안무소</t>
        </is>
      </c>
      <c r="P3167" s="4" t="n">
        <v>1</v>
      </c>
      <c r="Q3167" s="4" t="n">
        <v>7812</v>
      </c>
      <c r="R3167" s="3" t="inlineStr">
        <is>
          <t>지정되지않음</t>
        </is>
      </c>
      <c r="S3167" s="3" t="inlineStr">
        <is>
          <t>공업용</t>
        </is>
      </c>
      <c r="T3167" s="3" t="inlineStr">
        <is>
          <t>평지</t>
        </is>
      </c>
      <c r="U3167" s="3" t="inlineStr">
        <is>
          <t>사다리형</t>
        </is>
      </c>
      <c r="V3167" s="3" t="inlineStr">
        <is>
          <t>소로한면</t>
        </is>
      </c>
    </row>
    <row r="3168">
      <c r="A3168" s="3" t="inlineStr">
        <is>
          <t>조치원읍 신안리 341-17</t>
        </is>
      </c>
      <c r="B3168" s="3" t="inlineStr">
        <is>
          <t>제2종일반주거지역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65000</v>
      </c>
      <c r="G3168" s="4" t="n">
        <v>433</v>
      </c>
      <c r="H3168" s="4" t="n">
        <v>131</v>
      </c>
      <c r="I3168" s="5" t="n">
        <v>496.2</v>
      </c>
      <c r="J3168" s="5" t="n">
        <v>233.8</v>
      </c>
      <c r="K3168" s="3" t="inlineStr">
        <is>
          <t>홍익대 근접 거리, 원룸 지으실 분 추천요.</t>
        </is>
      </c>
      <c r="L3168" s="6">
        <f>HYPERLINK("https://fin.land.naver.com/articles/2656442102", "매물Link")</f>
        <v/>
      </c>
      <c r="M3168" s="6">
        <f>HYPERLINK("https://map.naver.com/p/search/조치원읍 신안리 341-17", "지도Link")</f>
        <v/>
      </c>
      <c r="N3168" s="6">
        <f>HYPERLINK("http://www.eum.go.kr/web/ar/lu/luLandDet.jsp?pnu=3611025032103410017&amp;isNoScr=script&amp;mode=search", "토지이음")</f>
        <v/>
      </c>
      <c r="O3168" s="3" t="inlineStr">
        <is>
          <t>세종공감</t>
        </is>
      </c>
      <c r="P3168" s="4" t="n">
        <v>1</v>
      </c>
      <c r="Q3168" s="4" t="n">
        <v>337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정방형</t>
        </is>
      </c>
      <c r="V3168" s="3" t="inlineStr">
        <is>
          <t>세로한면(가)</t>
        </is>
      </c>
    </row>
    <row r="3169">
      <c r="A3169" s="3" t="inlineStr">
        <is>
          <t>조치원읍 신안리 35-17</t>
        </is>
      </c>
      <c r="B3169" s="3" t="inlineStr">
        <is>
          <t>제2종일반주거지역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285000</v>
      </c>
      <c r="G3169" s="4" t="n">
        <v>1653</v>
      </c>
      <c r="H3169" s="4" t="n">
        <v>500</v>
      </c>
      <c r="I3169" s="5" t="n">
        <v>570</v>
      </c>
      <c r="J3169" s="5" t="n">
        <v>430.4</v>
      </c>
      <c r="K3169" s="3" t="inlineStr">
        <is>
          <t>도시지역 대로접, 2종일반주거지역,넓은 면적 위치좋은 토지</t>
        </is>
      </c>
      <c r="L3169" s="6">
        <f>HYPERLINK("https://fin.land.naver.com/articles/2653435544", "매물Link")</f>
        <v/>
      </c>
      <c r="M3169" s="6">
        <f>HYPERLINK("https://map.naver.com/p/search/조치원읍 신안리 35-17", "지도Link")</f>
        <v/>
      </c>
      <c r="N3169" s="6">
        <f>HYPERLINK("http://www.eum.go.kr/web/ar/lu/luLandDet.jsp?pnu=3611025032100350017&amp;isNoScr=script&amp;mode=search", "토지이음")</f>
        <v/>
      </c>
      <c r="O3169" s="3" t="inlineStr">
        <is>
          <t>고운맘</t>
        </is>
      </c>
      <c r="P3169" s="4" t="n">
        <v>1</v>
      </c>
      <c r="Q3169" s="4" t="n">
        <v>1653</v>
      </c>
      <c r="R3169" s="3" t="inlineStr">
        <is>
          <t>지정되지않음</t>
        </is>
      </c>
      <c r="S3169" s="3" t="inlineStr">
        <is>
          <t>상업나지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광대로한면</t>
        </is>
      </c>
    </row>
    <row r="3170">
      <c r="A3170" s="3" t="inlineStr">
        <is>
          <t>조치원읍 신안리 383-1</t>
        </is>
      </c>
      <c r="B3170" s="3" t="inlineStr">
        <is>
          <t>제2종일반주거지역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30000</v>
      </c>
      <c r="G3170" s="4" t="n">
        <v>265</v>
      </c>
      <c r="H3170" s="4" t="n">
        <v>80</v>
      </c>
      <c r="I3170" s="5" t="n">
        <v>375</v>
      </c>
      <c r="J3170" s="5" t="n">
        <v>200.1</v>
      </c>
      <c r="K3170" s="3" t="inlineStr">
        <is>
          <t>소자본 투자용, 원룸신축부지로 적합</t>
        </is>
      </c>
      <c r="L3170" s="6">
        <f>HYPERLINK("https://fin.land.naver.com/articles/2656441727", "매물Link")</f>
        <v/>
      </c>
      <c r="M3170" s="6">
        <f>HYPERLINK("https://map.naver.com/p/search/조치원읍 신안리 383-1", "지도Link")</f>
        <v/>
      </c>
      <c r="N3170" s="6">
        <f>HYPERLINK("http://www.eum.go.kr/web/ar/lu/luLandDet.jsp?pnu=3611025032103830001&amp;isNoScr=script&amp;mode=search", "토지이음")</f>
        <v/>
      </c>
      <c r="O3170" s="3" t="inlineStr">
        <is>
          <t>세종공감</t>
        </is>
      </c>
      <c r="P3170" s="4" t="n">
        <v>2</v>
      </c>
      <c r="Q3170" s="4" t="n">
        <v>265</v>
      </c>
      <c r="R3170" s="3" t="inlineStr">
        <is>
          <t>지정되지않음</t>
        </is>
      </c>
      <c r="S3170" s="3" t="inlineStr">
        <is>
          <t>주거기타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세로한면(가)</t>
        </is>
      </c>
    </row>
    <row r="3171">
      <c r="A3171" s="3" t="inlineStr">
        <is>
          <t>조치원읍 신안리 390</t>
        </is>
      </c>
      <c r="B3171" s="3" t="inlineStr">
        <is>
          <t>제2종일반주거지역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120000</v>
      </c>
      <c r="G3171" s="4" t="n">
        <v>525</v>
      </c>
      <c r="H3171" s="4" t="n">
        <v>159</v>
      </c>
      <c r="I3171" s="5" t="n">
        <v>754.7</v>
      </c>
      <c r="J3171" s="5" t="n">
        <v>418.5</v>
      </c>
      <c r="K3171" s="3" t="inlineStr">
        <is>
          <t>대지가격으로 매매합니다.12억평750만원</t>
        </is>
      </c>
      <c r="L3171" s="6">
        <f>HYPERLINK("https://fin.land.naver.com/articles/2650957174", "매물Link")</f>
        <v/>
      </c>
      <c r="M3171" s="6">
        <f>HYPERLINK("https://map.naver.com/p/search/조치원읍 신안리 390", "지도Link")</f>
        <v/>
      </c>
      <c r="N3171" s="6">
        <f>HYPERLINK("http://www.eum.go.kr/web/ar/lu/luLandDet.jsp?pnu=3611025032103900000&amp;isNoScr=script&amp;mode=search", "토지이음")</f>
        <v/>
      </c>
      <c r="O3171" s="3" t="inlineStr">
        <is>
          <t>고잔역</t>
        </is>
      </c>
      <c r="P3171" s="4" t="n">
        <v>1</v>
      </c>
      <c r="Q3171" s="4" t="n">
        <v>515</v>
      </c>
      <c r="R3171" s="3" t="inlineStr">
        <is>
          <t>지정되지않음</t>
        </is>
      </c>
      <c r="S3171" s="3" t="inlineStr">
        <is>
          <t>상업용</t>
        </is>
      </c>
      <c r="T3171" s="3" t="inlineStr">
        <is>
          <t>평지</t>
        </is>
      </c>
      <c r="U3171" s="3" t="inlineStr">
        <is>
          <t>부정형</t>
        </is>
      </c>
      <c r="V3171" s="3" t="inlineStr">
        <is>
          <t>중로각지</t>
        </is>
      </c>
    </row>
    <row r="3172">
      <c r="A3172" s="3" t="inlineStr">
        <is>
          <t>조치원읍 신안리 436-1</t>
        </is>
      </c>
      <c r="B3172" s="3" t="inlineStr">
        <is>
          <t>자연녹지지역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45000</v>
      </c>
      <c r="G3172" s="4" t="n">
        <v>661</v>
      </c>
      <c r="H3172" s="4" t="n">
        <v>200</v>
      </c>
      <c r="I3172" s="5" t="n">
        <v>225</v>
      </c>
      <c r="J3172" s="5" t="n">
        <v>64.59999999999999</v>
      </c>
      <c r="K3172" s="3" t="inlineStr">
        <is>
          <t>대단지아파트인근, 신안지구개발예정지 인근, 전원주택지 등 다용도 가능</t>
        </is>
      </c>
      <c r="L3172" s="6">
        <f>HYPERLINK("https://fin.land.naver.com/articles/2656673477", "매물Link")</f>
        <v/>
      </c>
      <c r="M3172" s="6">
        <f>HYPERLINK("https://map.naver.com/p/search/조치원읍 신안리 436-1", "지도Link")</f>
        <v/>
      </c>
      <c r="N3172" s="6">
        <f>HYPERLINK("http://www.eum.go.kr/web/ar/lu/luLandDet.jsp?pnu=3611025032104360001&amp;isNoScr=script&amp;mode=search", "토지이음")</f>
        <v/>
      </c>
      <c r="O3172" s="3" t="inlineStr">
        <is>
          <t>세종공감</t>
        </is>
      </c>
      <c r="P3172" s="4" t="n">
        <v>2</v>
      </c>
      <c r="Q3172" s="4" t="n">
        <v>661</v>
      </c>
      <c r="R3172" s="3" t="inlineStr">
        <is>
          <t>지정되지않음</t>
        </is>
      </c>
      <c r="S3172" s="3" t="inlineStr">
        <is>
          <t>전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조치원읍 신안리 436-3</t>
        </is>
      </c>
      <c r="B3173" s="3" t="inlineStr">
        <is>
          <t>자연녹지지역</t>
        </is>
      </c>
      <c r="C3173" s="3" t="inlineStr">
        <is>
          <t>전</t>
        </is>
      </c>
      <c r="D3173" s="3" t="inlineStr">
        <is>
          <t>답</t>
        </is>
      </c>
      <c r="E3173" s="3" t="inlineStr">
        <is>
          <t>매매</t>
        </is>
      </c>
      <c r="F3173" s="4" t="n">
        <v>46000</v>
      </c>
      <c r="G3173" s="4" t="n">
        <v>662</v>
      </c>
      <c r="H3173" s="4" t="n">
        <v>200</v>
      </c>
      <c r="I3173" s="5" t="n">
        <v>230</v>
      </c>
      <c r="J3173" s="5" t="n">
        <v>67.8</v>
      </c>
      <c r="K3173" s="3" t="inlineStr">
        <is>
          <t>조치원읍 신안리 자연녹지 토지, 네모반듯, 신안지구 개발지, 단독주택</t>
        </is>
      </c>
      <c r="L3173" s="6">
        <f>HYPERLINK("https://fin.land.naver.com/articles/2654029198", "매물Link")</f>
        <v/>
      </c>
      <c r="M3173" s="6">
        <f>HYPERLINK("https://map.naver.com/p/search/조치원읍 신안리 436-3", "지도Link")</f>
        <v/>
      </c>
      <c r="N3173" s="6">
        <f>HYPERLINK("http://www.eum.go.kr/web/ar/lu/luLandDet.jsp?pnu=3611025032104360003&amp;isNoScr=script&amp;mode=search", "토지이음")</f>
        <v/>
      </c>
      <c r="O3173" s="3" t="inlineStr">
        <is>
          <t>스카이</t>
        </is>
      </c>
      <c r="P3173" s="4" t="n">
        <v>1</v>
      </c>
      <c r="Q3173" s="4" t="n">
        <v>662</v>
      </c>
      <c r="R3173" s="3" t="inlineStr">
        <is>
          <t>지정되지않음</t>
        </is>
      </c>
      <c r="S3173" s="3" t="inlineStr">
        <is>
          <t>전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세로한면(가)</t>
        </is>
      </c>
    </row>
    <row r="3174">
      <c r="A3174" s="3" t="inlineStr">
        <is>
          <t>조치원읍 신안리 436-3</t>
        </is>
      </c>
      <c r="B3174" s="3" t="inlineStr">
        <is>
          <t>자연녹지지역</t>
        </is>
      </c>
      <c r="C3174" s="3" t="inlineStr">
        <is>
          <t>전</t>
        </is>
      </c>
      <c r="D3174" s="3" t="inlineStr">
        <is>
          <t>답</t>
        </is>
      </c>
      <c r="E3174" s="3" t="inlineStr">
        <is>
          <t>매매</t>
        </is>
      </c>
      <c r="F3174" s="4" t="n">
        <v>46000</v>
      </c>
      <c r="G3174" s="4" t="n">
        <v>662</v>
      </c>
      <c r="H3174" s="4" t="n">
        <v>200</v>
      </c>
      <c r="I3174" s="5" t="n">
        <v>230</v>
      </c>
      <c r="J3174" s="5" t="n">
        <v>67.8</v>
      </c>
      <c r="K3174" s="3" t="inlineStr">
        <is>
          <t>이편한세상 아파트 983세대  초인접 공영주차장 이용가능</t>
        </is>
      </c>
      <c r="L3174" s="6">
        <f>HYPERLINK("https://fin.land.naver.com/articles/2656044322", "매물Link")</f>
        <v/>
      </c>
      <c r="M3174" s="6">
        <f>HYPERLINK("https://map.naver.com/p/search/조치원읍 신안리 436-3", "지도Link")</f>
        <v/>
      </c>
      <c r="N3174" s="6">
        <f>HYPERLINK("http://www.eum.go.kr/web/ar/lu/luLandDet.jsp?pnu=3611025032104360003&amp;isNoScr=script&amp;mode=search", "토지이음")</f>
        <v/>
      </c>
      <c r="O3174" s="3" t="inlineStr">
        <is>
          <t>그래그</t>
        </is>
      </c>
      <c r="P3174" s="4" t="n">
        <v>2</v>
      </c>
      <c r="Q3174" s="4" t="n">
        <v>662</v>
      </c>
      <c r="R3174" s="3" t="inlineStr">
        <is>
          <t>지정되지않음</t>
        </is>
      </c>
      <c r="S3174" s="3" t="inlineStr">
        <is>
          <t>전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세로한면(가)</t>
        </is>
      </c>
    </row>
    <row r="3175">
      <c r="A3175" s="3" t="inlineStr">
        <is>
          <t>조치원읍 신안리 436-4</t>
        </is>
      </c>
      <c r="B3175" s="3" t="inlineStr">
        <is>
          <t>자연녹지지역</t>
        </is>
      </c>
      <c r="C3175" s="3" t="inlineStr">
        <is>
          <t>전</t>
        </is>
      </c>
      <c r="D3175" s="3" t="inlineStr">
        <is>
          <t>답</t>
        </is>
      </c>
      <c r="E3175" s="3" t="inlineStr">
        <is>
          <t>매매</t>
        </is>
      </c>
      <c r="F3175" s="4" t="n">
        <v>120000</v>
      </c>
      <c r="G3175" s="4" t="n">
        <v>1256</v>
      </c>
      <c r="H3175" s="4" t="n">
        <v>380</v>
      </c>
      <c r="I3175" s="5" t="n">
        <v>315.8</v>
      </c>
      <c r="J3175" s="5" t="n">
        <v>72.2</v>
      </c>
      <c r="K3175" s="3" t="inlineStr">
        <is>
          <t>신안리 자연녹지 토지, 3면도로 접, 아파트개발지 옆, 근생시설 등</t>
        </is>
      </c>
      <c r="L3175" s="6">
        <f>HYPERLINK("https://fin.land.naver.com/articles/2654029011", "매물Link")</f>
        <v/>
      </c>
      <c r="M3175" s="6">
        <f>HYPERLINK("https://map.naver.com/p/search/조치원읍 신안리 436-4", "지도Link")</f>
        <v/>
      </c>
      <c r="N3175" s="6">
        <f>HYPERLINK("http://www.eum.go.kr/web/ar/lu/luLandDet.jsp?pnu=3611025032104360004&amp;isNoScr=script&amp;mode=search", "토지이음")</f>
        <v/>
      </c>
      <c r="O3175" s="3" t="inlineStr">
        <is>
          <t>스카이</t>
        </is>
      </c>
      <c r="P3175" s="4" t="n">
        <v>1</v>
      </c>
      <c r="Q3175" s="4" t="n">
        <v>932</v>
      </c>
      <c r="R3175" s="3" t="inlineStr">
        <is>
          <t>지정되지않음</t>
        </is>
      </c>
      <c r="S3175" s="3" t="inlineStr">
        <is>
          <t>전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조치원읍 신안리 436-4</t>
        </is>
      </c>
      <c r="B3176" s="3" t="inlineStr">
        <is>
          <t>자연녹지지역</t>
        </is>
      </c>
      <c r="C3176" s="3" t="inlineStr">
        <is>
          <t>전</t>
        </is>
      </c>
      <c r="D3176" s="3" t="inlineStr">
        <is>
          <t>답</t>
        </is>
      </c>
      <c r="E3176" s="3" t="inlineStr">
        <is>
          <t>매매</t>
        </is>
      </c>
      <c r="F3176" s="4" t="n">
        <v>120000</v>
      </c>
      <c r="G3176" s="4" t="n">
        <v>932</v>
      </c>
      <c r="H3176" s="4" t="n">
        <v>282</v>
      </c>
      <c r="I3176" s="5" t="n">
        <v>425.5</v>
      </c>
      <c r="J3176" s="5" t="n">
        <v>72.2</v>
      </c>
      <c r="K3176" s="3" t="inlineStr">
        <is>
          <t>3면 포장도로 접함 이편한세상 984세대 인접 공영주차장이용가능</t>
        </is>
      </c>
      <c r="L3176" s="6">
        <f>HYPERLINK("https://fin.land.naver.com/articles/2656044633", "매물Link")</f>
        <v/>
      </c>
      <c r="M3176" s="6">
        <f>HYPERLINK("https://map.naver.com/p/search/조치원읍 신안리 436-4", "지도Link")</f>
        <v/>
      </c>
      <c r="N3176" s="6">
        <f>HYPERLINK("http://www.eum.go.kr/web/ar/lu/luLandDet.jsp?pnu=3611025032104360004&amp;isNoScr=script&amp;mode=search", "토지이음")</f>
        <v/>
      </c>
      <c r="O3176" s="3" t="inlineStr">
        <is>
          <t>그래그</t>
        </is>
      </c>
      <c r="P3176" s="4" t="n">
        <v>1</v>
      </c>
      <c r="Q3176" s="4" t="n">
        <v>932</v>
      </c>
      <c r="R3176" s="3" t="inlineStr">
        <is>
          <t>지정되지않음</t>
        </is>
      </c>
      <c r="S3176" s="3" t="inlineStr">
        <is>
          <t>전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조치원읍 신안리 436-4</t>
        </is>
      </c>
      <c r="B3177" s="3" t="inlineStr">
        <is>
          <t>자연녹지지역</t>
        </is>
      </c>
      <c r="C3177" s="3" t="inlineStr">
        <is>
          <t>전</t>
        </is>
      </c>
      <c r="D3177" s="3" t="inlineStr">
        <is>
          <t>답</t>
        </is>
      </c>
      <c r="E3177" s="3" t="inlineStr">
        <is>
          <t>매매</t>
        </is>
      </c>
      <c r="F3177" s="4" t="n">
        <v>120000</v>
      </c>
      <c r="G3177" s="4" t="n">
        <v>1256</v>
      </c>
      <c r="H3177" s="4" t="n">
        <v>380</v>
      </c>
      <c r="I3177" s="5" t="n">
        <v>315.8</v>
      </c>
      <c r="J3177" s="5" t="n">
        <v>72.2</v>
      </c>
      <c r="K3177" s="3" t="inlineStr">
        <is>
          <t>신안리 이편한세상 아파트 초인접, 3면 포장도로 접한 음식점,커피숍</t>
        </is>
      </c>
      <c r="L3177" s="6">
        <f>HYPERLINK("https://fin.land.naver.com/articles/2650955165", "매물Link")</f>
        <v/>
      </c>
      <c r="M3177" s="6">
        <f>HYPERLINK("https://map.naver.com/p/search/조치원읍 신안리 436-4", "지도Link")</f>
        <v/>
      </c>
      <c r="N3177" s="6">
        <f>HYPERLINK("http://www.eum.go.kr/web/ar/lu/luLandDet.jsp?pnu=3611025032104360004&amp;isNoScr=script&amp;mode=search", "토지이음")</f>
        <v/>
      </c>
      <c r="O3177" s="3" t="inlineStr">
        <is>
          <t>세종나라</t>
        </is>
      </c>
      <c r="P3177" s="4" t="n">
        <v>1</v>
      </c>
      <c r="Q3177" s="4" t="n">
        <v>932</v>
      </c>
      <c r="R3177" s="3" t="inlineStr">
        <is>
          <t>지정되지않음</t>
        </is>
      </c>
      <c r="S3177" s="3" t="inlineStr">
        <is>
          <t>전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조치원읍 신안리 445-4</t>
        </is>
      </c>
      <c r="B3178" s="3" t="inlineStr">
        <is>
          <t>제2종일반주거지역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150000</v>
      </c>
      <c r="G3178" s="4" t="n">
        <v>635</v>
      </c>
      <c r="H3178" s="4" t="n">
        <v>192</v>
      </c>
      <c r="I3178" s="5" t="n">
        <v>781.2</v>
      </c>
      <c r="J3178" s="5" t="n">
        <v>336.2</v>
      </c>
      <c r="K3178" s="3" t="inlineStr">
        <is>
          <t>입지가 최상인 토지입니다.</t>
        </is>
      </c>
      <c r="L3178" s="6">
        <f>HYPERLINK("https://fin.land.naver.com/articles/2655662987", "매물Link")</f>
        <v/>
      </c>
      <c r="M3178" s="6">
        <f>HYPERLINK("https://map.naver.com/p/search/조치원읍 신안리 445-4", "지도Link")</f>
        <v/>
      </c>
      <c r="N3178" s="6">
        <f>HYPERLINK("http://www.eum.go.kr/web/ar/lu/luLandDet.jsp?pnu=3611025032104450004&amp;isNoScr=script&amp;mode=search", "토지이음")</f>
        <v/>
      </c>
      <c r="O3178" s="3" t="inlineStr">
        <is>
          <t>부자터</t>
        </is>
      </c>
      <c r="P3178" s="4" t="n">
        <v>1</v>
      </c>
      <c r="Q3178" s="4" t="n">
        <v>635</v>
      </c>
      <c r="R3178" s="3" t="inlineStr">
        <is>
          <t>지정되지않음</t>
        </is>
      </c>
      <c r="S3178" s="3" t="inlineStr">
        <is>
          <t>주상기타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조치원읍 신안리 산13</t>
        </is>
      </c>
      <c r="B3179" s="3" t="inlineStr">
        <is>
          <t>자연녹지지역</t>
        </is>
      </c>
      <c r="C3179" s="3" t="inlineStr">
        <is>
          <t>임야</t>
        </is>
      </c>
      <c r="D3179" s="3" t="inlineStr">
        <is>
          <t>임야</t>
        </is>
      </c>
      <c r="E3179" s="3" t="inlineStr">
        <is>
          <t>매매</t>
        </is>
      </c>
      <c r="F3179" s="4" t="n">
        <v>300000</v>
      </c>
      <c r="G3179" s="4" t="n">
        <v>10909</v>
      </c>
      <c r="H3179" s="4" t="n">
        <v>3300</v>
      </c>
      <c r="I3179" s="5" t="n">
        <v>90.90000000000001</v>
      </c>
      <c r="J3179" s="5" t="n">
        <v>18.7</v>
      </c>
      <c r="K3179" s="3" t="inlineStr">
        <is>
          <t>제2종일반주거지역 성장관리계획구역</t>
        </is>
      </c>
      <c r="L3179" s="6">
        <f>HYPERLINK("https://fin.land.naver.com/articles/2652865397", "매물Link")</f>
        <v/>
      </c>
      <c r="M3179" s="6">
        <f>HYPERLINK("https://map.naver.com/p/search/조치원읍 신안리 산13", "지도Link")</f>
        <v/>
      </c>
      <c r="N3179" s="6">
        <f>HYPERLINK("http://www.eum.go.kr/web/ar/lu/luLandDet.jsp?pnu=3611025032200130000&amp;isNoScr=script&amp;mode=search", "토지이음")</f>
        <v/>
      </c>
      <c r="O3179" s="3" t="inlineStr">
        <is>
          <t>건국</t>
        </is>
      </c>
      <c r="P3179" s="4" t="n">
        <v>1</v>
      </c>
      <c r="Q3179" s="4" t="n">
        <v>10909</v>
      </c>
      <c r="R3179" s="3" t="inlineStr">
        <is>
          <t>제2종일반주거지역</t>
        </is>
      </c>
      <c r="S3179" s="3" t="inlineStr">
        <is>
          <t>자연림</t>
        </is>
      </c>
      <c r="T3179" s="3" t="inlineStr">
        <is>
          <t>급경사</t>
        </is>
      </c>
      <c r="U3179" s="3" t="inlineStr">
        <is>
          <t>부정형</t>
        </is>
      </c>
      <c r="V3179" s="3" t="inlineStr">
        <is>
          <t>맹지</t>
        </is>
      </c>
    </row>
    <row r="3180">
      <c r="A3180" s="3" t="inlineStr">
        <is>
          <t>조치원읍 신안리 산8-37</t>
        </is>
      </c>
      <c r="B3180" s="3" t="inlineStr">
        <is>
          <t>자연녹지지역</t>
        </is>
      </c>
      <c r="C3180" s="3" t="inlineStr">
        <is>
          <t>임야</t>
        </is>
      </c>
      <c r="D3180" s="3" t="inlineStr">
        <is>
          <t>임야</t>
        </is>
      </c>
      <c r="E3180" s="3" t="inlineStr">
        <is>
          <t>매매</t>
        </is>
      </c>
      <c r="F3180" s="4" t="n">
        <v>150000</v>
      </c>
      <c r="G3180" s="4" t="n">
        <v>10118</v>
      </c>
      <c r="H3180" s="4" t="n">
        <v>3061</v>
      </c>
      <c r="I3180" s="5" t="n">
        <v>49</v>
      </c>
      <c r="J3180" s="5" t="n">
        <v>9.199999999999999</v>
      </c>
      <c r="K3180" s="3" t="inlineStr">
        <is>
          <t>총5필지,세종 홍대근접,도로접</t>
        </is>
      </c>
      <c r="L3180" s="6">
        <f>HYPERLINK("https://fin.land.naver.com/articles/2651521476", "매물Link")</f>
        <v/>
      </c>
      <c r="M3180" s="6">
        <f>HYPERLINK("https://map.naver.com/p/search/조치원읍 신안리 산8-37", "지도Link")</f>
        <v/>
      </c>
      <c r="N3180" s="6">
        <f>HYPERLINK("http://www.eum.go.kr/web/ar/lu/luLandDet.jsp?pnu=3611025032200080037&amp;isNoScr=script&amp;mode=search", "토지이음")</f>
        <v/>
      </c>
      <c r="O3180" s="3" t="inlineStr">
        <is>
          <t>담뜰</t>
        </is>
      </c>
      <c r="P3180" s="4" t="n">
        <v>1</v>
      </c>
      <c r="Q3180" s="4" t="n">
        <v>1652</v>
      </c>
      <c r="R3180" s="3" t="inlineStr">
        <is>
          <t>보전녹지지역</t>
        </is>
      </c>
      <c r="S3180" s="3" t="inlineStr">
        <is>
          <t>자연림</t>
        </is>
      </c>
      <c r="T3180" s="3" t="inlineStr">
        <is>
          <t>급경사</t>
        </is>
      </c>
      <c r="U3180" s="3" t="inlineStr">
        <is>
          <t>사다리형</t>
        </is>
      </c>
      <c r="V3180" s="3" t="inlineStr">
        <is>
          <t>맹지</t>
        </is>
      </c>
    </row>
    <row r="3181">
      <c r="A3181" s="3" t="inlineStr">
        <is>
          <t>조치원읍 신흥리 1-5</t>
        </is>
      </c>
      <c r="B3181" s="3" t="inlineStr">
        <is>
          <t>제2종일반주거지역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77000</v>
      </c>
      <c r="G3181" s="4" t="n">
        <v>513</v>
      </c>
      <c r="H3181" s="4" t="n">
        <v>155</v>
      </c>
      <c r="I3181" s="5" t="n">
        <v>496.8</v>
      </c>
      <c r="J3181" s="5" t="n">
        <v>188.2</v>
      </c>
      <c r="K3181" s="3" t="inlineStr">
        <is>
          <t>신흥리 코너 넓은 나대지 활용가치좋음,금액협의</t>
        </is>
      </c>
      <c r="L3181" s="6">
        <f>HYPERLINK("https://fin.land.naver.com/articles/2651981278", "매물Link")</f>
        <v/>
      </c>
      <c r="M3181" s="6">
        <f>HYPERLINK("https://map.naver.com/p/search/조치원읍 신흥리 1-5", "지도Link")</f>
        <v/>
      </c>
      <c r="N3181" s="6">
        <f>HYPERLINK("http://www.eum.go.kr/web/ar/lu/luLandDet.jsp?pnu=3611025029100010005&amp;isNoScr=script&amp;mode=search", "토지이음")</f>
        <v/>
      </c>
      <c r="O3181" s="3" t="inlineStr">
        <is>
          <t>다옴</t>
        </is>
      </c>
      <c r="P3181" s="4" t="n">
        <v>1</v>
      </c>
      <c r="Q3181" s="4" t="n">
        <v>513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소로각지</t>
        </is>
      </c>
    </row>
    <row r="3182">
      <c r="A3182" s="3" t="inlineStr">
        <is>
          <t>조치원읍 신흥리 100-2</t>
        </is>
      </c>
      <c r="B3182" s="3" t="inlineStr">
        <is>
          <t>제2종일반주거지역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17000</v>
      </c>
      <c r="G3182" s="4" t="n">
        <v>188</v>
      </c>
      <c r="H3182" s="4" t="n">
        <v>57</v>
      </c>
      <c r="I3182" s="5" t="n">
        <v>298.2</v>
      </c>
      <c r="J3182" s="5" t="n">
        <v>196.8</v>
      </c>
      <c r="K3182" s="3" t="inlineStr">
        <is>
          <t>신흥리 2종일반주거지역 급매. 맹지이나 진입로 있음</t>
        </is>
      </c>
      <c r="L3182" s="6">
        <f>HYPERLINK("https://fin.land.naver.com/articles/2652663257", "매물Link")</f>
        <v/>
      </c>
      <c r="M3182" s="6">
        <f>HYPERLINK("https://map.naver.com/p/search/조치원읍 신흥리 100-2", "지도Link")</f>
        <v/>
      </c>
      <c r="N3182" s="6">
        <f>HYPERLINK("http://www.eum.go.kr/web/ar/lu/luLandDet.jsp?pnu=3611025029101000002&amp;isNoScr=script&amp;mode=search", "토지이음")</f>
        <v/>
      </c>
      <c r="O3182" s="3" t="inlineStr">
        <is>
          <t>세종대장</t>
        </is>
      </c>
      <c r="P3182" s="4" t="n">
        <v>1</v>
      </c>
      <c r="Q3182" s="4" t="n">
        <v>188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세로한면(불)</t>
        </is>
      </c>
    </row>
    <row r="3183">
      <c r="A3183" s="3" t="inlineStr">
        <is>
          <t>조치원읍 신흥리 198-1</t>
        </is>
      </c>
      <c r="B3183" s="3" t="inlineStr">
        <is>
          <t>제2종일반주거지역</t>
        </is>
      </c>
      <c r="C3183" s="3" t="inlineStr">
        <is>
          <t>잡종지</t>
        </is>
      </c>
      <c r="D3183" s="3" t="inlineStr">
        <is>
          <t>잡종지</t>
        </is>
      </c>
      <c r="E3183" s="3" t="inlineStr">
        <is>
          <t>매매</t>
        </is>
      </c>
      <c r="F3183" s="4" t="n">
        <v>390000</v>
      </c>
      <c r="G3183" s="4" t="n">
        <v>1797</v>
      </c>
      <c r="H3183" s="4" t="n">
        <v>544</v>
      </c>
      <c r="I3183" s="5" t="n">
        <v>716.9</v>
      </c>
      <c r="J3183" s="5" t="n">
        <v>435.4</v>
      </c>
      <c r="K3183" s="3" t="inlineStr">
        <is>
          <t>신흥 아파트단지 중심지역 대도로변 코너각지</t>
        </is>
      </c>
      <c r="L3183" s="6">
        <f>HYPERLINK("https://fin.land.naver.com/articles/2654528051", "매물Link")</f>
        <v/>
      </c>
      <c r="M3183" s="6">
        <f>HYPERLINK("https://map.naver.com/p/search/조치원읍 신흥리 198-1", "지도Link")</f>
        <v/>
      </c>
      <c r="N3183" s="6">
        <f>HYPERLINK("http://www.eum.go.kr/web/ar/lu/luLandDet.jsp?pnu=3611025029101980001&amp;isNoScr=script&amp;mode=search", "토지이음")</f>
        <v/>
      </c>
      <c r="O3183" s="3" t="inlineStr">
        <is>
          <t>뉴신세계</t>
        </is>
      </c>
      <c r="P3183" s="4" t="n">
        <v>2</v>
      </c>
      <c r="Q3183" s="4" t="n">
        <v>1797</v>
      </c>
      <c r="R3183" s="3" t="inlineStr">
        <is>
          <t>지정되지않음</t>
        </is>
      </c>
      <c r="S3183" s="3" t="inlineStr">
        <is>
          <t>상업용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중로각지</t>
        </is>
      </c>
    </row>
    <row r="3184">
      <c r="A3184" s="3" t="inlineStr">
        <is>
          <t>조치원읍 신흥리 288-1</t>
        </is>
      </c>
      <c r="B3184" s="3" t="inlineStr">
        <is>
          <t>제2종일반주거지역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31000</v>
      </c>
      <c r="G3184" s="4" t="n">
        <v>245</v>
      </c>
      <c r="H3184" s="4" t="n">
        <v>74</v>
      </c>
      <c r="I3184" s="5" t="n">
        <v>418.9</v>
      </c>
      <c r="J3184" s="5" t="n">
        <v>246.6</v>
      </c>
      <c r="K3184" s="3" t="inlineStr">
        <is>
          <t>추천. 조치원 신흥사거리 대지</t>
        </is>
      </c>
      <c r="L3184" s="6">
        <f>HYPERLINK("https://fin.land.naver.com/articles/2654805366", "매물Link")</f>
        <v/>
      </c>
      <c r="M3184" s="6">
        <f>HYPERLINK("https://map.naver.com/p/search/조치원읍 신흥리 288-1", "지도Link")</f>
        <v/>
      </c>
      <c r="N3184" s="6">
        <f>HYPERLINK("http://www.eum.go.kr/web/ar/lu/luLandDet.jsp?pnu=3611025029102880001&amp;isNoScr=script&amp;mode=search", "토지이음")</f>
        <v/>
      </c>
      <c r="O3184" s="3" t="inlineStr">
        <is>
          <t>강아지풀</t>
        </is>
      </c>
      <c r="P3184" s="4" t="n">
        <v>1</v>
      </c>
      <c r="Q3184" s="4" t="n">
        <v>245</v>
      </c>
      <c r="R3184" s="3" t="inlineStr">
        <is>
          <t>지정되지않음</t>
        </is>
      </c>
      <c r="S3184" s="3" t="inlineStr">
        <is>
          <t>단독</t>
        </is>
      </c>
      <c r="T3184" s="3" t="inlineStr">
        <is>
          <t>평지</t>
        </is>
      </c>
      <c r="U3184" s="3" t="inlineStr">
        <is>
          <t>가로장방</t>
        </is>
      </c>
      <c r="V3184" s="3" t="inlineStr">
        <is>
          <t>소로한면</t>
        </is>
      </c>
    </row>
    <row r="3185">
      <c r="A3185" s="3" t="inlineStr">
        <is>
          <t>조치원읍 신흥리 288-1</t>
        </is>
      </c>
      <c r="B3185" s="3" t="inlineStr">
        <is>
          <t>제2종일반주거지역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31000</v>
      </c>
      <c r="G3185" s="4" t="n">
        <v>245</v>
      </c>
      <c r="H3185" s="4" t="n">
        <v>74</v>
      </c>
      <c r="I3185" s="5" t="n">
        <v>418.9</v>
      </c>
      <c r="J3185" s="5" t="n">
        <v>246.6</v>
      </c>
      <c r="K3185" s="3" t="inlineStr">
        <is>
          <t>투자가치가 높은 세종시 조치원읍 신흥리 토지</t>
        </is>
      </c>
      <c r="L3185" s="6">
        <f>HYPERLINK("https://fin.land.naver.com/articles/2654358579", "매물Link")</f>
        <v/>
      </c>
      <c r="M3185" s="6">
        <f>HYPERLINK("https://map.naver.com/p/search/조치원읍 신흥리 288-1", "지도Link")</f>
        <v/>
      </c>
      <c r="N3185" s="6">
        <f>HYPERLINK("http://www.eum.go.kr/web/ar/lu/luLandDet.jsp?pnu=3611025029102880001&amp;isNoScr=script&amp;mode=search", "토지이음")</f>
        <v/>
      </c>
      <c r="O3185" s="3" t="inlineStr">
        <is>
          <t>비전</t>
        </is>
      </c>
      <c r="P3185" s="4" t="n">
        <v>1</v>
      </c>
      <c r="Q3185" s="4" t="n">
        <v>245</v>
      </c>
      <c r="R3185" s="3" t="inlineStr">
        <is>
          <t>지정되지않음</t>
        </is>
      </c>
      <c r="S3185" s="3" t="inlineStr">
        <is>
          <t>단독</t>
        </is>
      </c>
      <c r="T3185" s="3" t="inlineStr">
        <is>
          <t>평지</t>
        </is>
      </c>
      <c r="U3185" s="3" t="inlineStr">
        <is>
          <t>가로장방</t>
        </is>
      </c>
      <c r="V3185" s="3" t="inlineStr">
        <is>
          <t>소로한면</t>
        </is>
      </c>
    </row>
    <row r="3186">
      <c r="A3186" s="3" t="inlineStr">
        <is>
          <t>조치원읍 신흥리 288-2</t>
        </is>
      </c>
      <c r="B3186" s="3" t="inlineStr">
        <is>
          <t>제2종일반주거지역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45000</v>
      </c>
      <c r="G3186" s="4" t="n">
        <v>299</v>
      </c>
      <c r="H3186" s="4" t="n">
        <v>90</v>
      </c>
      <c r="I3186" s="5" t="n">
        <v>500</v>
      </c>
      <c r="J3186" s="5" t="n">
        <v>244.2</v>
      </c>
      <c r="K3186" s="3" t="inlineStr">
        <is>
          <t>투자가치가 높은 세종시 조치원읍 신흥리 토지</t>
        </is>
      </c>
      <c r="L3186" s="6">
        <f>HYPERLINK("https://fin.land.naver.com/articles/2654230232", "매물Link")</f>
        <v/>
      </c>
      <c r="M3186" s="6">
        <f>HYPERLINK("https://map.naver.com/p/search/조치원읍 신흥리 288-2", "지도Link")</f>
        <v/>
      </c>
      <c r="N3186" s="6">
        <f>HYPERLINK("http://www.eum.go.kr/web/ar/lu/luLandDet.jsp?pnu=3611025029102880002&amp;isNoScr=script&amp;mode=search", "토지이음")</f>
        <v/>
      </c>
      <c r="O3186" s="3" t="inlineStr">
        <is>
          <t>비전</t>
        </is>
      </c>
      <c r="P3186" s="4" t="n">
        <v>1</v>
      </c>
      <c r="Q3186" s="4" t="n">
        <v>299</v>
      </c>
      <c r="R3186" s="3" t="inlineStr">
        <is>
          <t>지정되지않음</t>
        </is>
      </c>
      <c r="S3186" s="3" t="inlineStr">
        <is>
          <t>단독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조치원읍 신흥리 304-1</t>
        </is>
      </c>
      <c r="B3187" s="3" t="inlineStr">
        <is>
          <t>제1종일반주거지역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205000</v>
      </c>
      <c r="G3187" s="4" t="n">
        <v>1679</v>
      </c>
      <c r="H3187" s="4" t="n">
        <v>508</v>
      </c>
      <c r="I3187" s="5" t="n">
        <v>403.5</v>
      </c>
      <c r="J3187" s="5" t="n">
        <v>147.3</v>
      </c>
      <c r="K3187" s="3" t="inlineStr">
        <is>
          <t>이쁜 모양의 토지 분할매수도 가능</t>
        </is>
      </c>
      <c r="L3187" s="6">
        <f>HYPERLINK("https://fin.land.naver.com/articles/2651577271", "매물Link")</f>
        <v/>
      </c>
      <c r="M3187" s="6">
        <f>HYPERLINK("https://map.naver.com/p/search/조치원읍 신흥리 304-1", "지도Link")</f>
        <v/>
      </c>
      <c r="N3187" s="6">
        <f>HYPERLINK("http://www.eum.go.kr/web/ar/lu/luLandDet.jsp?pnu=3611025029103040001&amp;isNoScr=script&amp;mode=search", "토지이음")</f>
        <v/>
      </c>
      <c r="O3187" s="3" t="inlineStr">
        <is>
          <t>여기로</t>
        </is>
      </c>
      <c r="P3187" s="4" t="n">
        <v>1</v>
      </c>
      <c r="Q3187" s="4" t="n">
        <v>1667</v>
      </c>
      <c r="R3187" s="3" t="inlineStr">
        <is>
          <t>지정되지않음</t>
        </is>
      </c>
      <c r="S3187" s="3" t="inlineStr">
        <is>
          <t>과수원</t>
        </is>
      </c>
      <c r="T3187" s="3" t="inlineStr">
        <is>
          <t>평지</t>
        </is>
      </c>
      <c r="U3187" s="3" t="inlineStr">
        <is>
          <t>부정형</t>
        </is>
      </c>
      <c r="V3187" s="3" t="inlineStr">
        <is>
          <t>세로한면(가)</t>
        </is>
      </c>
    </row>
    <row r="3188">
      <c r="A3188" s="3" t="inlineStr">
        <is>
          <t>조치원읍 신흥리 49-19</t>
        </is>
      </c>
      <c r="B3188" s="3" t="inlineStr">
        <is>
          <t>제2종일반주거지역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33000</v>
      </c>
      <c r="G3188" s="4" t="n">
        <v>239</v>
      </c>
      <c r="H3188" s="4" t="n">
        <v>72</v>
      </c>
      <c r="I3188" s="5" t="n">
        <v>458.3</v>
      </c>
      <c r="J3188" s="5" t="n">
        <v>161.8</v>
      </c>
      <c r="K3188" s="3" t="inlineStr">
        <is>
          <t>급,조치원역 뒤,신축,투자,보유 좋은 저렴토지</t>
        </is>
      </c>
      <c r="L3188" s="6">
        <f>HYPERLINK("https://fin.land.naver.com/articles/2651980448", "매물Link")</f>
        <v/>
      </c>
      <c r="M3188" s="6">
        <f>HYPERLINK("https://map.naver.com/p/search/조치원읍 신흥리 49-19", "지도Link")</f>
        <v/>
      </c>
      <c r="N3188" s="6">
        <f>HYPERLINK("http://www.eum.go.kr/web/ar/lu/luLandDet.jsp?pnu=3611025029100490019&amp;isNoScr=script&amp;mode=search", "토지이음")</f>
        <v/>
      </c>
      <c r="O3188" s="3" t="inlineStr">
        <is>
          <t>다옴</t>
        </is>
      </c>
      <c r="P3188" s="4" t="n">
        <v>1</v>
      </c>
      <c r="Q3188" s="4" t="n">
        <v>130</v>
      </c>
      <c r="R3188" s="3" t="inlineStr">
        <is>
          <t>지정되지않음</t>
        </is>
      </c>
      <c r="S3188" s="3" t="inlineStr">
        <is>
          <t>단독</t>
        </is>
      </c>
      <c r="T3188" s="3" t="inlineStr">
        <is>
          <t>평지</t>
        </is>
      </c>
      <c r="U3188" s="3" t="inlineStr">
        <is>
          <t>자루형</t>
        </is>
      </c>
      <c r="V3188" s="3" t="inlineStr">
        <is>
          <t>세로한면(가)</t>
        </is>
      </c>
    </row>
    <row r="3189">
      <c r="A3189" s="3" t="inlineStr">
        <is>
          <t>조치원읍 신흥리 55-2</t>
        </is>
      </c>
      <c r="B3189" s="3" t="inlineStr">
        <is>
          <t>제2종일반주거지역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22000</v>
      </c>
      <c r="G3189" s="4" t="n">
        <v>121</v>
      </c>
      <c r="H3189" s="4" t="n">
        <v>37</v>
      </c>
      <c r="I3189" s="5" t="n">
        <v>594.6</v>
      </c>
      <c r="J3189" s="5" t="n">
        <v>187.2</v>
      </c>
      <c r="K3189" s="3" t="inlineStr">
        <is>
          <t>보건소옆 코너각지 토지매매</t>
        </is>
      </c>
      <c r="L3189" s="6">
        <f>HYPERLINK("https://fin.land.naver.com/articles/2653068635", "매물Link")</f>
        <v/>
      </c>
      <c r="M3189" s="6">
        <f>HYPERLINK("https://map.naver.com/p/search/조치원읍 신흥리 55-2", "지도Link")</f>
        <v/>
      </c>
      <c r="N3189" s="6">
        <f>HYPERLINK("http://www.eum.go.kr/web/ar/lu/luLandDet.jsp?pnu=3611025029100550002&amp;isNoScr=script&amp;mode=search", "토지이음")</f>
        <v/>
      </c>
      <c r="O3189" s="3" t="inlineStr">
        <is>
          <t>세종땅사랑</t>
        </is>
      </c>
      <c r="P3189" s="4" t="n">
        <v>1</v>
      </c>
      <c r="Q3189" s="4" t="n">
        <v>121</v>
      </c>
      <c r="R3189" s="3" t="inlineStr">
        <is>
          <t>지정되지않음</t>
        </is>
      </c>
      <c r="S3189" s="3" t="inlineStr">
        <is>
          <t>단독</t>
        </is>
      </c>
      <c r="T3189" s="3" t="inlineStr">
        <is>
          <t>평지</t>
        </is>
      </c>
      <c r="U3189" s="3" t="inlineStr">
        <is>
          <t>사다리형</t>
        </is>
      </c>
      <c r="V3189" s="3" t="inlineStr">
        <is>
          <t>소로각지</t>
        </is>
      </c>
    </row>
    <row r="3190">
      <c r="A3190" s="3" t="inlineStr">
        <is>
          <t>조치원읍 신흥리 62-8</t>
        </is>
      </c>
      <c r="B3190" s="3" t="inlineStr">
        <is>
          <t>제2종일반주거지역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63900</v>
      </c>
      <c r="G3190" s="4" t="n">
        <v>469</v>
      </c>
      <c r="H3190" s="4" t="n">
        <v>142</v>
      </c>
      <c r="I3190" s="5" t="n">
        <v>450</v>
      </c>
      <c r="J3190" s="5" t="n">
        <v>302.4</v>
      </c>
      <c r="K3190" s="3" t="inlineStr">
        <is>
          <t>신흥리 2차선 접한 토지 사옥및주택추천</t>
        </is>
      </c>
      <c r="L3190" s="6">
        <f>HYPERLINK("https://fin.land.naver.com/articles/2651708291", "매물Link")</f>
        <v/>
      </c>
      <c r="M3190" s="6">
        <f>HYPERLINK("https://map.naver.com/p/search/조치원읍 신흥리 62-8", "지도Link")</f>
        <v/>
      </c>
      <c r="N3190" s="6">
        <f>HYPERLINK("http://www.eum.go.kr/web/ar/lu/luLandDet.jsp?pnu=3611025029100620008&amp;isNoScr=script&amp;mode=search", "토지이음")</f>
        <v/>
      </c>
      <c r="O3190" s="3" t="inlineStr">
        <is>
          <t>OK수</t>
        </is>
      </c>
      <c r="P3190" s="4" t="n">
        <v>1</v>
      </c>
      <c r="Q3190" s="4" t="n">
        <v>400</v>
      </c>
      <c r="R3190" s="3" t="inlineStr">
        <is>
          <t>지정되지않음</t>
        </is>
      </c>
      <c r="S3190" s="3" t="inlineStr">
        <is>
          <t>공업용</t>
        </is>
      </c>
      <c r="T3190" s="3" t="inlineStr">
        <is>
          <t>평지</t>
        </is>
      </c>
      <c r="U3190" s="3" t="inlineStr">
        <is>
          <t>자루형</t>
        </is>
      </c>
      <c r="V3190" s="3" t="inlineStr">
        <is>
          <t>소로한면</t>
        </is>
      </c>
    </row>
    <row r="3191">
      <c r="A3191" s="3" t="inlineStr">
        <is>
          <t>조치원읍 신흥리 63-42</t>
        </is>
      </c>
      <c r="B3191" s="3" t="inlineStr">
        <is>
          <t>제2종일반주거지역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260000</v>
      </c>
      <c r="G3191" s="4" t="n">
        <v>787</v>
      </c>
      <c r="H3191" s="4" t="n">
        <v>238</v>
      </c>
      <c r="I3191" s="5" t="n">
        <v>1092.4</v>
      </c>
      <c r="J3191" s="5" t="n">
        <v>400.7</v>
      </c>
      <c r="K3191" s="3" t="inlineStr">
        <is>
          <t>세종시보건소 옆 4차로 도로 코너 토지로 2필지 일괄 매매.</t>
        </is>
      </c>
      <c r="L3191" s="6">
        <f>HYPERLINK("https://fin.land.naver.com/articles/2655717033", "매물Link")</f>
        <v/>
      </c>
      <c r="M3191" s="6">
        <f>HYPERLINK("https://map.naver.com/p/search/조치원읍 신흥리 63-42", "지도Link")</f>
        <v/>
      </c>
      <c r="N3191" s="6">
        <f>HYPERLINK("http://www.eum.go.kr/web/ar/lu/luLandDet.jsp?pnu=3611025029100630042&amp;isNoScr=script&amp;mode=search", "토지이음")</f>
        <v/>
      </c>
      <c r="O3191" s="3" t="inlineStr">
        <is>
          <t>세종대장</t>
        </is>
      </c>
      <c r="P3191" s="4" t="n">
        <v>1</v>
      </c>
      <c r="Q3191" s="4" t="n">
        <v>395</v>
      </c>
      <c r="R3191" s="3" t="inlineStr">
        <is>
          <t>지정되지않음</t>
        </is>
      </c>
      <c r="S3191" s="3" t="inlineStr">
        <is>
          <t>상업용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광대소각</t>
        </is>
      </c>
    </row>
    <row r="3192">
      <c r="A3192" s="3" t="inlineStr">
        <is>
          <t>조치원읍 원리 8-9</t>
        </is>
      </c>
      <c r="B3192" s="3" t="inlineStr">
        <is>
          <t>일반상업지역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260000</v>
      </c>
      <c r="G3192" s="4" t="n">
        <v>546</v>
      </c>
      <c r="H3192" s="4" t="n">
        <v>165</v>
      </c>
      <c r="I3192" s="5" t="n">
        <v>1575.8</v>
      </c>
      <c r="J3192" s="5" t="n">
        <v>1082.3</v>
      </c>
      <c r="K3192" s="3" t="inlineStr">
        <is>
          <t>nan</t>
        </is>
      </c>
      <c r="L3192" s="6">
        <f>HYPERLINK("https://fin.land.naver.com/articles/2651529141", "매물Link")</f>
        <v/>
      </c>
      <c r="M3192" s="6">
        <f>HYPERLINK("https://map.naver.com/p/search/조치원읍 원리 8-9", "지도Link")</f>
        <v/>
      </c>
      <c r="N3192" s="6">
        <f>HYPERLINK("http://www.eum.go.kr/web/ar/lu/luLandDet.jsp?pnu=3611025021100080009&amp;isNoScr=script&amp;mode=search", "토지이음")</f>
        <v/>
      </c>
      <c r="O3192" s="3" t="inlineStr">
        <is>
          <t>한아름</t>
        </is>
      </c>
      <c r="P3192" s="4" t="n">
        <v>1</v>
      </c>
      <c r="Q3192" s="4" t="n">
        <v>473.1</v>
      </c>
      <c r="R3192" s="3" t="inlineStr">
        <is>
          <t>지정되지않음</t>
        </is>
      </c>
      <c r="S3192" s="3" t="inlineStr">
        <is>
          <t>상업용</t>
        </is>
      </c>
      <c r="T3192" s="3" t="inlineStr">
        <is>
          <t>평지</t>
        </is>
      </c>
      <c r="U3192" s="3" t="inlineStr">
        <is>
          <t>자루형</t>
        </is>
      </c>
      <c r="V3192" s="3" t="inlineStr">
        <is>
          <t>중로각지</t>
        </is>
      </c>
    </row>
    <row r="3193">
      <c r="A3193" s="3" t="inlineStr">
        <is>
          <t>조치원읍 정리 52-6</t>
        </is>
      </c>
      <c r="B3193" s="3" t="inlineStr">
        <is>
          <t>준주거지역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260000</v>
      </c>
      <c r="G3193" s="4" t="n">
        <v>1191</v>
      </c>
      <c r="H3193" s="4" t="n">
        <v>360</v>
      </c>
      <c r="I3193" s="5" t="n">
        <v>722.2</v>
      </c>
      <c r="J3193" s="5" t="n">
        <v>194.4</v>
      </c>
      <c r="K3193" s="3" t="inlineStr">
        <is>
          <t>전통시장 근접한 대지로 단독주택 또는 원룸건축에 좋은 위치입니다.</t>
        </is>
      </c>
      <c r="L3193" s="6">
        <f>HYPERLINK("https://fin.land.naver.com/articles/2655515277", "매물Link")</f>
        <v/>
      </c>
      <c r="M3193" s="6">
        <f>HYPERLINK("https://map.naver.com/p/search/조치원읍 정리 52-6", "지도Link")</f>
        <v/>
      </c>
      <c r="N3193" s="6">
        <f>HYPERLINK("http://www.eum.go.kr/web/ar/lu/luLandDet.jsp?pnu=3611025025100520006&amp;isNoScr=script&amp;mode=search", "토지이음")</f>
        <v/>
      </c>
      <c r="O3193" s="3" t="inlineStr">
        <is>
          <t>가람</t>
        </is>
      </c>
      <c r="P3193" s="4" t="n">
        <v>1</v>
      </c>
      <c r="Q3193" s="4" t="n">
        <v>468</v>
      </c>
      <c r="R3193" s="3" t="inlineStr">
        <is>
          <t>지정되지않음</t>
        </is>
      </c>
      <c r="S3193" s="3" t="inlineStr">
        <is>
          <t>단독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세로한면(가)</t>
        </is>
      </c>
    </row>
    <row r="3194">
      <c r="A3194" s="3" t="inlineStr">
        <is>
          <t>조치원읍 정리 87-8</t>
        </is>
      </c>
      <c r="B3194" s="3" t="inlineStr">
        <is>
          <t>일반상업지역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89000</v>
      </c>
      <c r="G3194" s="4" t="n">
        <v>326</v>
      </c>
      <c r="H3194" s="4" t="n">
        <v>99</v>
      </c>
      <c r="I3194" s="5" t="n">
        <v>899</v>
      </c>
      <c r="J3194" s="5" t="n">
        <v>335.5</v>
      </c>
      <c r="K3194" s="3" t="inlineStr">
        <is>
          <t>조치원시장내, 일반상업 알짜토지,다양활용가능</t>
        </is>
      </c>
      <c r="L3194" s="6">
        <f>HYPERLINK("https://fin.land.naver.com/articles/2651333398", "매물Link")</f>
        <v/>
      </c>
      <c r="M3194" s="6">
        <f>HYPERLINK("https://map.naver.com/p/search/조치원읍 정리 87-8", "지도Link")</f>
        <v/>
      </c>
      <c r="N3194" s="6">
        <f>HYPERLINK("http://www.eum.go.kr/web/ar/lu/luLandDet.jsp?pnu=3611025025100870008&amp;isNoScr=script&amp;mode=search", "토지이음")</f>
        <v/>
      </c>
      <c r="O3194" s="3" t="inlineStr">
        <is>
          <t>다옴</t>
        </is>
      </c>
      <c r="P3194" s="4" t="n">
        <v>1</v>
      </c>
      <c r="Q3194" s="4" t="n">
        <v>326</v>
      </c>
      <c r="R3194" s="3" t="inlineStr">
        <is>
          <t>지정되지않음</t>
        </is>
      </c>
      <c r="S3194" s="3" t="inlineStr">
        <is>
          <t>상업용</t>
        </is>
      </c>
      <c r="T3194" s="3" t="inlineStr">
        <is>
          <t>평지</t>
        </is>
      </c>
      <c r="U3194" s="3" t="inlineStr">
        <is>
          <t>자루형</t>
        </is>
      </c>
      <c r="V3194" s="3" t="inlineStr">
        <is>
          <t>세로한면(가)</t>
        </is>
      </c>
    </row>
    <row r="3195">
      <c r="A3195" s="3" t="inlineStr">
        <is>
          <t>조치원읍 죽림리 156-15</t>
        </is>
      </c>
      <c r="B3195" s="3" t="inlineStr">
        <is>
          <t>일반상업지역</t>
        </is>
      </c>
      <c r="C3195" s="3" t="inlineStr">
        <is>
          <t>전</t>
        </is>
      </c>
      <c r="D3195" s="3" t="inlineStr">
        <is>
          <t>전</t>
        </is>
      </c>
      <c r="E3195" s="3" t="inlineStr">
        <is>
          <t>매매</t>
        </is>
      </c>
      <c r="F3195" s="4" t="n">
        <v>245000</v>
      </c>
      <c r="G3195" s="4" t="n">
        <v>810</v>
      </c>
      <c r="H3195" s="4" t="n">
        <v>245</v>
      </c>
      <c r="I3195" s="5" t="n">
        <v>1000</v>
      </c>
      <c r="J3195" s="5" t="n">
        <v>119.3</v>
      </c>
      <c r="K3195" s="3" t="inlineStr">
        <is>
          <t>2차선변 일반상업지역, 투자가치 최고</t>
        </is>
      </c>
      <c r="L3195" s="6">
        <f>HYPERLINK("https://fin.land.naver.com/articles/2656671623", "매물Link")</f>
        <v/>
      </c>
      <c r="M3195" s="6">
        <f>HYPERLINK("https://map.naver.com/p/search/조치원읍 죽림리 156-15", "지도Link")</f>
        <v/>
      </c>
      <c r="N3195" s="6">
        <f>HYPERLINK("http://www.eum.go.kr/web/ar/lu/luLandDet.jsp?pnu=3611025030101560015&amp;isNoScr=script&amp;mode=search", "토지이음")</f>
        <v/>
      </c>
      <c r="O3195" s="3" t="inlineStr">
        <is>
          <t>세종공감</t>
        </is>
      </c>
      <c r="P3195" s="4" t="n">
        <v>1</v>
      </c>
      <c r="Q3195" s="4" t="n">
        <v>716</v>
      </c>
      <c r="R3195" s="3" t="inlineStr">
        <is>
          <t>지정되지않음</t>
        </is>
      </c>
      <c r="S3195" s="3" t="inlineStr">
        <is>
          <t>전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세로한면(불)</t>
        </is>
      </c>
    </row>
    <row r="3196">
      <c r="A3196" s="3" t="inlineStr">
        <is>
          <t>조치원읍 죽림리 178-1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36000</v>
      </c>
      <c r="G3196" s="4" t="n">
        <v>168</v>
      </c>
      <c r="H3196" s="4" t="n">
        <v>51</v>
      </c>
      <c r="I3196" s="5" t="n">
        <v>705.9</v>
      </c>
      <c r="J3196" s="5" t="n">
        <v>210.4</v>
      </c>
      <c r="K3196" s="3" t="inlineStr">
        <is>
          <t>죽림리 토지매매, 제2종일반주거지역, 도로 접함</t>
        </is>
      </c>
      <c r="L3196" s="6">
        <f>HYPERLINK("https://fin.land.naver.com/articles/2655354978", "매물Link")</f>
        <v/>
      </c>
      <c r="M3196" s="6">
        <f>HYPERLINK("https://map.naver.com/p/search/조치원읍 죽림리 178-1", "지도Link")</f>
        <v/>
      </c>
      <c r="N3196" s="6">
        <f>HYPERLINK("http://www.eum.go.kr/web/ar/lu/luLandDet.jsp?pnu=3611025030101780001&amp;isNoScr=script&amp;mode=search", "토지이음")</f>
        <v/>
      </c>
      <c r="O3196" s="3" t="inlineStr">
        <is>
          <t>하늘</t>
        </is>
      </c>
      <c r="P3196" s="4" t="n">
        <v>1</v>
      </c>
      <c r="Q3196" s="4" t="n">
        <v>168.3</v>
      </c>
      <c r="R3196" s="3" t="inlineStr">
        <is>
          <t>지정되지않음</t>
        </is>
      </c>
      <c r="S3196" s="3" t="inlineStr">
        <is>
          <t>단독</t>
        </is>
      </c>
      <c r="T3196" s="3" t="inlineStr">
        <is>
          <t>평지</t>
        </is>
      </c>
      <c r="U3196" s="3" t="inlineStr">
        <is>
          <t>정방형</t>
        </is>
      </c>
      <c r="V3196" s="3" t="inlineStr">
        <is>
          <t>소로각지</t>
        </is>
      </c>
    </row>
    <row r="3197">
      <c r="A3197" s="3" t="inlineStr">
        <is>
          <t>조치원읍 죽림리 184-15</t>
        </is>
      </c>
      <c r="B3197" s="3" t="inlineStr">
        <is>
          <t>제2종일반주거지역</t>
        </is>
      </c>
      <c r="C3197" s="3" t="inlineStr">
        <is>
          <t>전</t>
        </is>
      </c>
      <c r="D3197" s="3" t="inlineStr">
        <is>
          <t>전</t>
        </is>
      </c>
      <c r="E3197" s="3" t="inlineStr">
        <is>
          <t>매매</t>
        </is>
      </c>
      <c r="F3197" s="4" t="n">
        <v>48500</v>
      </c>
      <c r="G3197" s="4" t="n">
        <v>321</v>
      </c>
      <c r="H3197" s="4" t="n">
        <v>97</v>
      </c>
      <c r="I3197" s="5" t="n">
        <v>500</v>
      </c>
      <c r="J3197" s="5" t="n">
        <v>198.2</v>
      </c>
      <c r="K3197" s="3" t="inlineStr">
        <is>
          <t>2차선3거리코너,주변아파트.상가주택형성,투자가치좋아요</t>
        </is>
      </c>
      <c r="L3197" s="6">
        <f>HYPERLINK("https://fin.land.naver.com/articles/2651762596", "매물Link")</f>
        <v/>
      </c>
      <c r="M3197" s="6">
        <f>HYPERLINK("https://map.naver.com/p/search/조치원읍 죽림리 184-15", "지도Link")</f>
        <v/>
      </c>
      <c r="N3197" s="6">
        <f>HYPERLINK("http://www.eum.go.kr/web/ar/lu/luLandDet.jsp?pnu=3611025030101840015&amp;isNoScr=script&amp;mode=search", "토지이음")</f>
        <v/>
      </c>
      <c r="O3197" s="3" t="inlineStr">
        <is>
          <t>힐스테이트행복</t>
        </is>
      </c>
      <c r="P3197" s="4" t="n">
        <v>1</v>
      </c>
      <c r="Q3197" s="4" t="n">
        <v>321.2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소로각지</t>
        </is>
      </c>
    </row>
    <row r="3198">
      <c r="A3198" s="3" t="inlineStr">
        <is>
          <t>조치원읍 죽림리 240</t>
        </is>
      </c>
      <c r="B3198" s="3" t="inlineStr">
        <is>
          <t>제2종일반주거지역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700000</v>
      </c>
      <c r="G3198" s="4" t="n">
        <v>4045</v>
      </c>
      <c r="H3198" s="4" t="n">
        <v>1224</v>
      </c>
      <c r="I3198" s="5" t="n">
        <v>571.9</v>
      </c>
      <c r="J3198" s="5" t="n">
        <v>131.4</v>
      </c>
      <c r="K3198" s="3" t="inlineStr">
        <is>
          <t>2면 도로접한 도시지역,근생시설,제2종일반주거지역,다용도 사용가능</t>
        </is>
      </c>
      <c r="L3198" s="6">
        <f>HYPERLINK("https://fin.land.naver.com/articles/2653434524", "매물Link")</f>
        <v/>
      </c>
      <c r="M3198" s="6">
        <f>HYPERLINK("https://map.naver.com/p/search/조치원읍 죽림리 240", "지도Link")</f>
        <v/>
      </c>
      <c r="N3198" s="6">
        <f>HYPERLINK("http://www.eum.go.kr/web/ar/lu/luLandDet.jsp?pnu=3611025030102400000&amp;isNoScr=script&amp;mode=search", "토지이음")</f>
        <v/>
      </c>
      <c r="O3198" s="3" t="inlineStr">
        <is>
          <t>고운맘</t>
        </is>
      </c>
      <c r="P3198" s="4" t="n">
        <v>1</v>
      </c>
      <c r="Q3198" s="4" t="n">
        <v>2590</v>
      </c>
      <c r="R3198" s="3" t="inlineStr">
        <is>
          <t>지정되지않음</t>
        </is>
      </c>
      <c r="S3198" s="3" t="inlineStr">
        <is>
          <t>전기타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소로한면</t>
        </is>
      </c>
    </row>
    <row r="3199">
      <c r="A3199" s="3" t="inlineStr">
        <is>
          <t>조치원읍 죽림리 315-2</t>
        </is>
      </c>
      <c r="B3199" s="3" t="inlineStr">
        <is>
          <t>자연녹지지역</t>
        </is>
      </c>
      <c r="C3199" s="3" t="inlineStr">
        <is>
          <t>전</t>
        </is>
      </c>
      <c r="D3199" s="3" t="inlineStr">
        <is>
          <t>전</t>
        </is>
      </c>
      <c r="E3199" s="3" t="inlineStr">
        <is>
          <t>매매</t>
        </is>
      </c>
      <c r="F3199" s="4" t="n">
        <v>695000</v>
      </c>
      <c r="G3199" s="4" t="n">
        <v>5079</v>
      </c>
      <c r="H3199" s="4" t="n">
        <v>1536</v>
      </c>
      <c r="I3199" s="5" t="n">
        <v>452.5</v>
      </c>
      <c r="J3199" s="5" t="n">
        <v>124.8</v>
      </c>
      <c r="K3199" s="3" t="inlineStr">
        <is>
          <t>Click 홈플러스 옆 3필지 도로접 Click</t>
        </is>
      </c>
      <c r="L3199" s="6">
        <f>HYPERLINK("https://fin.land.naver.com/articles/2651207978", "매물Link")</f>
        <v/>
      </c>
      <c r="M3199" s="6">
        <f>HYPERLINK("https://map.naver.com/p/search/조치원읍 죽림리 315-2", "지도Link")</f>
        <v/>
      </c>
      <c r="N3199" s="6">
        <f>HYPERLINK("http://www.eum.go.kr/web/ar/lu/luLandDet.jsp?pnu=3611025030103150002&amp;isNoScr=script&amp;mode=search", "토지이음")</f>
        <v/>
      </c>
      <c r="O3199" s="3" t="inlineStr">
        <is>
          <t>해뜰</t>
        </is>
      </c>
      <c r="P3199" s="4" t="n">
        <v>1</v>
      </c>
      <c r="Q3199" s="4" t="n">
        <v>3538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광대로한면</t>
        </is>
      </c>
    </row>
    <row r="3200">
      <c r="A3200" s="3" t="inlineStr">
        <is>
          <t>조치원읍 죽림리 333-3</t>
        </is>
      </c>
      <c r="B3200" s="3" t="inlineStr">
        <is>
          <t>제2종일반주거지역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240000</v>
      </c>
      <c r="G3200" s="4" t="n">
        <v>1061</v>
      </c>
      <c r="H3200" s="4" t="n">
        <v>321</v>
      </c>
      <c r="I3200" s="5" t="n">
        <v>747.7</v>
      </c>
      <c r="J3200" s="5" t="n">
        <v>311.8</v>
      </c>
      <c r="K3200" s="3" t="inlineStr">
        <is>
          <t>nan</t>
        </is>
      </c>
      <c r="L3200" s="6">
        <f>HYPERLINK("https://fin.land.naver.com/articles/2651553883", "매물Link")</f>
        <v/>
      </c>
      <c r="M3200" s="6">
        <f>HYPERLINK("https://map.naver.com/p/search/조치원읍 죽림리 333-3", "지도Link")</f>
        <v/>
      </c>
      <c r="N3200" s="6">
        <f>HYPERLINK("http://www.eum.go.kr/web/ar/lu/luLandDet.jsp?pnu=3611025030103330003&amp;isNoScr=script&amp;mode=search", "토지이음")</f>
        <v/>
      </c>
      <c r="O3200" s="3" t="inlineStr">
        <is>
          <t>태원</t>
        </is>
      </c>
      <c r="P3200" s="4" t="n">
        <v>1</v>
      </c>
      <c r="Q3200" s="4" t="n">
        <v>945</v>
      </c>
      <c r="R3200" s="3" t="inlineStr">
        <is>
          <t>지정되지않음</t>
        </is>
      </c>
      <c r="S3200" s="3" t="inlineStr">
        <is>
          <t>주상용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광대소각</t>
        </is>
      </c>
    </row>
    <row r="3201">
      <c r="A3201" s="3" t="inlineStr">
        <is>
          <t>조치원읍 죽림리 342</t>
        </is>
      </c>
      <c r="B3201" s="3" t="inlineStr">
        <is>
          <t>제2종일반주거지역</t>
        </is>
      </c>
      <c r="C3201" s="3" t="inlineStr">
        <is>
          <t>과수원</t>
        </is>
      </c>
      <c r="D3201" s="3" t="inlineStr">
        <is>
          <t>과수원</t>
        </is>
      </c>
      <c r="E3201" s="3" t="inlineStr">
        <is>
          <t>매매</t>
        </is>
      </c>
      <c r="F3201" s="4" t="n">
        <v>110000</v>
      </c>
      <c r="G3201" s="4" t="n">
        <v>587</v>
      </c>
      <c r="H3201" s="4" t="n">
        <v>178</v>
      </c>
      <c r="I3201" s="5" t="n">
        <v>618</v>
      </c>
      <c r="J3201" s="5" t="n">
        <v>190.2</v>
      </c>
      <c r="K3201" s="3" t="inlineStr">
        <is>
          <t>세종북부경찰서와 파밀리에아파트, 그리고 원룸이 인접해 있음</t>
        </is>
      </c>
      <c r="L3201" s="6">
        <f>HYPERLINK("https://fin.land.naver.com/articles/2652786093", "매물Link")</f>
        <v/>
      </c>
      <c r="M3201" s="6">
        <f>HYPERLINK("https://map.naver.com/p/search/조치원읍 죽림리 342", "지도Link")</f>
        <v/>
      </c>
      <c r="N3201" s="6">
        <f>HYPERLINK("http://www.eum.go.kr/web/ar/lu/luLandDet.jsp?pnu=3611025030103420000&amp;isNoScr=script&amp;mode=search", "토지이음")</f>
        <v/>
      </c>
      <c r="O3201" s="3" t="inlineStr">
        <is>
          <t>가람</t>
        </is>
      </c>
      <c r="P3201" s="4" t="n">
        <v>1</v>
      </c>
      <c r="Q3201" s="4" t="n">
        <v>587</v>
      </c>
      <c r="R3201" s="3" t="inlineStr">
        <is>
          <t>지정되지않음</t>
        </is>
      </c>
      <c r="S3201" s="3" t="inlineStr">
        <is>
          <t>과수원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중로한면</t>
        </is>
      </c>
    </row>
    <row r="3202">
      <c r="A3202" s="3" t="inlineStr">
        <is>
          <t>조치원읍 침산리 111-18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11400</v>
      </c>
      <c r="G3202" s="4" t="n">
        <v>102</v>
      </c>
      <c r="H3202" s="4" t="n">
        <v>31</v>
      </c>
      <c r="I3202" s="5" t="n">
        <v>367.7</v>
      </c>
      <c r="J3202" s="5" t="n">
        <v>175.7</v>
      </c>
      <c r="K3202" s="3" t="inlineStr">
        <is>
          <t>조치원 침산리 토지 매매 102㎡ 단독필지</t>
        </is>
      </c>
      <c r="L3202" s="6">
        <f>HYPERLINK("https://fin.land.naver.com/articles/2651350442", "매물Link")</f>
        <v/>
      </c>
      <c r="M3202" s="6">
        <f>HYPERLINK("https://map.naver.com/p/search/조치원읍 침산리 111-18", "지도Link")</f>
        <v/>
      </c>
      <c r="N3202" s="6">
        <f>HYPERLINK("http://www.eum.go.kr/web/ar/lu/luLandDet.jsp?pnu=3611025028101110018&amp;isNoScr=script&amp;mode=search", "토지이음")</f>
        <v/>
      </c>
      <c r="O3202" s="3" t="inlineStr">
        <is>
          <t>세종공감</t>
        </is>
      </c>
      <c r="P3202" s="4" t="n">
        <v>1</v>
      </c>
      <c r="Q3202" s="4" t="n">
        <v>102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부정형</t>
        </is>
      </c>
      <c r="V3202" s="3" t="inlineStr">
        <is>
          <t>세로한면(가)</t>
        </is>
      </c>
    </row>
    <row r="3203">
      <c r="A3203" s="3" t="inlineStr">
        <is>
          <t>조치원읍 침산리 123-2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27000</v>
      </c>
      <c r="G3203" s="4" t="n">
        <v>238</v>
      </c>
      <c r="H3203" s="4" t="n">
        <v>72</v>
      </c>
      <c r="I3203" s="5" t="n">
        <v>375</v>
      </c>
      <c r="J3203" s="5" t="n">
        <v>177.6</v>
      </c>
      <c r="K3203" s="3" t="inlineStr">
        <is>
          <t>조치원역인접.나대지상태.상가주택부지.장기투자가치.교통편리.제2종주거지역</t>
        </is>
      </c>
      <c r="L3203" s="6">
        <f>HYPERLINK("https://fin.land.naver.com/articles/2654868027", "매물Link")</f>
        <v/>
      </c>
      <c r="M3203" s="6">
        <f>HYPERLINK("https://map.naver.com/p/search/조치원읍 침산리 123-2", "지도Link")</f>
        <v/>
      </c>
      <c r="N3203" s="6">
        <f>HYPERLINK("http://www.eum.go.kr/web/ar/lu/luLandDet.jsp?pnu=3611025028101230002&amp;isNoScr=script&amp;mode=search", "토지이음")</f>
        <v/>
      </c>
      <c r="O3203" s="3" t="inlineStr">
        <is>
          <t>돈방석</t>
        </is>
      </c>
      <c r="P3203" s="4" t="n">
        <v>1</v>
      </c>
      <c r="Q3203" s="4" t="n">
        <v>238</v>
      </c>
      <c r="R3203" s="3" t="inlineStr">
        <is>
          <t>지정되지않음</t>
        </is>
      </c>
      <c r="S3203" s="3" t="inlineStr">
        <is>
          <t>단독</t>
        </is>
      </c>
      <c r="T3203" s="3" t="inlineStr">
        <is>
          <t>평지</t>
        </is>
      </c>
      <c r="U3203" s="3" t="inlineStr">
        <is>
          <t>가로장방</t>
        </is>
      </c>
      <c r="V3203" s="3" t="inlineStr">
        <is>
          <t>세로한면(가)</t>
        </is>
      </c>
    </row>
    <row r="3204">
      <c r="A3204" s="3" t="inlineStr">
        <is>
          <t>조치원읍 침산리 144-9</t>
        </is>
      </c>
      <c r="B3204" s="3" t="inlineStr">
        <is>
          <t>제2종일반주거지역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52000</v>
      </c>
      <c r="G3204" s="4" t="n">
        <v>129</v>
      </c>
      <c r="H3204" s="4" t="n">
        <v>39</v>
      </c>
      <c r="I3204" s="5" t="n">
        <v>1333.3</v>
      </c>
      <c r="J3204" s="5" t="n">
        <v>404.6</v>
      </c>
      <c r="K3204" s="3" t="inlineStr">
        <is>
          <t>조치원역바로뒤,2층건물 포함 일괄매매</t>
        </is>
      </c>
      <c r="L3204" s="6">
        <f>HYPERLINK("https://fin.land.naver.com/articles/2652801000", "매물Link")</f>
        <v/>
      </c>
      <c r="M3204" s="6">
        <f>HYPERLINK("https://map.naver.com/p/search/조치원읍 침산리 144-9", "지도Link")</f>
        <v/>
      </c>
      <c r="N3204" s="6">
        <f>HYPERLINK("http://www.eum.go.kr/web/ar/lu/luLandDet.jsp?pnu=3611025028101440009&amp;isNoScr=script&amp;mode=search", "토지이음")</f>
        <v/>
      </c>
      <c r="O3204" s="3" t="inlineStr">
        <is>
          <t>다옴</t>
        </is>
      </c>
      <c r="P3204" s="4" t="n">
        <v>1</v>
      </c>
      <c r="Q3204" s="4" t="n">
        <v>129</v>
      </c>
      <c r="R3204" s="3" t="inlineStr">
        <is>
          <t>지정되지않음</t>
        </is>
      </c>
      <c r="S3204" s="3" t="inlineStr">
        <is>
          <t>주상용</t>
        </is>
      </c>
      <c r="T3204" s="3" t="inlineStr">
        <is>
          <t>평지</t>
        </is>
      </c>
      <c r="U3204" s="3" t="inlineStr">
        <is>
          <t>부정형</t>
        </is>
      </c>
      <c r="V3204" s="3" t="inlineStr">
        <is>
          <t>중로한면</t>
        </is>
      </c>
    </row>
    <row r="3205">
      <c r="A3205" s="3" t="inlineStr">
        <is>
          <t>조치원읍 침산리 167-10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95000</v>
      </c>
      <c r="G3205" s="4" t="n">
        <v>332</v>
      </c>
      <c r="H3205" s="4" t="n">
        <v>100</v>
      </c>
      <c r="I3205" s="5" t="n">
        <v>950</v>
      </c>
      <c r="J3205" s="5" t="n">
        <v>440.3</v>
      </c>
      <c r="K3205" s="3" t="inlineStr">
        <is>
          <t>조치원역뒤, 상가포함 좋은입지 일괄매매</t>
        </is>
      </c>
      <c r="L3205" s="6">
        <f>HYPERLINK("https://fin.land.naver.com/articles/2651077314", "매물Link")</f>
        <v/>
      </c>
      <c r="M3205" s="6">
        <f>HYPERLINK("https://map.naver.com/p/search/조치원읍 침산리 167-10", "지도Link")</f>
        <v/>
      </c>
      <c r="N3205" s="6">
        <f>HYPERLINK("http://www.eum.go.kr/web/ar/lu/luLandDet.jsp?pnu=3611025028101670010&amp;isNoScr=script&amp;mode=search", "토지이음")</f>
        <v/>
      </c>
      <c r="O3205" s="3" t="inlineStr">
        <is>
          <t>다옴</t>
        </is>
      </c>
      <c r="P3205" s="4" t="n">
        <v>1</v>
      </c>
      <c r="Q3205" s="4" t="n">
        <v>332</v>
      </c>
      <c r="R3205" s="3" t="inlineStr">
        <is>
          <t>지정되지않음</t>
        </is>
      </c>
      <c r="S3205" s="3" t="inlineStr">
        <is>
          <t>상업용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광대로한면</t>
        </is>
      </c>
    </row>
    <row r="3206">
      <c r="A3206" s="3" t="inlineStr">
        <is>
          <t>조치원읍 침산리 185-13</t>
        </is>
      </c>
      <c r="B3206" s="3" t="inlineStr">
        <is>
          <t>제2종일반주거지역</t>
        </is>
      </c>
      <c r="C3206" s="3" t="inlineStr">
        <is>
          <t>임야</t>
        </is>
      </c>
      <c r="D3206" s="3" t="inlineStr">
        <is>
          <t>임야</t>
        </is>
      </c>
      <c r="E3206" s="3" t="inlineStr">
        <is>
          <t>매매</t>
        </is>
      </c>
      <c r="F3206" s="4" t="n">
        <v>33000</v>
      </c>
      <c r="G3206" s="4" t="n">
        <v>283</v>
      </c>
      <c r="H3206" s="4" t="n">
        <v>86</v>
      </c>
      <c r="I3206" s="5" t="n">
        <v>383.7</v>
      </c>
      <c r="J3206" s="5" t="n">
        <v>136.4</v>
      </c>
      <c r="K3206" s="3" t="inlineStr">
        <is>
          <t>조치원역세권 개발 배후지.도시가스.상하수도 연결 완료</t>
        </is>
      </c>
      <c r="L3206" s="6">
        <f>HYPERLINK("https://fin.land.naver.com/articles/2651803543", "매물Link")</f>
        <v/>
      </c>
      <c r="M3206" s="6">
        <f>HYPERLINK("https://map.naver.com/p/search/조치원읍 침산리 185-13", "지도Link")</f>
        <v/>
      </c>
      <c r="N3206" s="6">
        <f>HYPERLINK("http://www.eum.go.kr/web/ar/lu/luLandDet.jsp?pnu=3611025028101850013&amp;isNoScr=script&amp;mode=search", "토지이음")</f>
        <v/>
      </c>
      <c r="O3206" s="3" t="inlineStr">
        <is>
          <t>굿모닝</t>
        </is>
      </c>
      <c r="P3206" s="4" t="n">
        <v>1</v>
      </c>
      <c r="Q3206" s="4" t="n">
        <v>283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완경사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조치원읍 침산리 185-19</t>
        </is>
      </c>
      <c r="B3207" s="3" t="inlineStr">
        <is>
          <t>제1종일반주거지역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80400</v>
      </c>
      <c r="G3207" s="4" t="n">
        <v>664</v>
      </c>
      <c r="H3207" s="4" t="n">
        <v>201</v>
      </c>
      <c r="I3207" s="5" t="n">
        <v>400</v>
      </c>
      <c r="J3207" s="5" t="n">
        <v>155.1</v>
      </c>
      <c r="K3207" s="3" t="inlineStr">
        <is>
          <t>침산리 위치 좋은 곳으로 커피숍이나 음식점 자리</t>
        </is>
      </c>
      <c r="L3207" s="6">
        <f>HYPERLINK("https://fin.land.naver.com/articles/2653950425", "매물Link")</f>
        <v/>
      </c>
      <c r="M3207" s="6">
        <f>HYPERLINK("https://map.naver.com/p/search/조치원읍 침산리 185-19", "지도Link")</f>
        <v/>
      </c>
      <c r="N3207" s="6">
        <f>HYPERLINK("http://www.eum.go.kr/web/ar/lu/luLandDet.jsp?pnu=3611025028101850019&amp;isNoScr=script&amp;mode=search", "토지이음")</f>
        <v/>
      </c>
      <c r="O3207" s="3" t="inlineStr">
        <is>
          <t>KB세종</t>
        </is>
      </c>
      <c r="P3207" s="4" t="n">
        <v>1</v>
      </c>
      <c r="Q3207" s="4" t="n">
        <v>580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세로한면(가)</t>
        </is>
      </c>
    </row>
    <row r="3208">
      <c r="A3208" s="3" t="inlineStr">
        <is>
          <t>조치원읍 침산리 203</t>
        </is>
      </c>
      <c r="B3208" s="3" t="inlineStr">
        <is>
          <t>제1종일반주거지역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193000</v>
      </c>
      <c r="G3208" s="4" t="n">
        <v>2362</v>
      </c>
      <c r="H3208" s="4" t="n">
        <v>715</v>
      </c>
      <c r="I3208" s="5" t="n">
        <v>269.9</v>
      </c>
      <c r="J3208" s="5" t="n">
        <v>187</v>
      </c>
      <c r="K3208" s="3" t="inlineStr">
        <is>
          <t>1번국도 인근토지로 지대가 높고 다양한 용도로 활용가능. 가격조율 가능.</t>
        </is>
      </c>
      <c r="L3208" s="6">
        <f>HYPERLINK("https://fin.land.naver.com/articles/2653505780", "매물Link")</f>
        <v/>
      </c>
      <c r="M3208" s="6">
        <f>HYPERLINK("https://map.naver.com/p/search/조치원읍 침산리 203", "지도Link")</f>
        <v/>
      </c>
      <c r="N3208" s="6">
        <f>HYPERLINK("http://www.eum.go.kr/web/ar/lu/luLandDet.jsp?pnu=3611025028102030000&amp;isNoScr=script&amp;mode=search", "토지이음")</f>
        <v/>
      </c>
      <c r="O3208" s="3" t="inlineStr">
        <is>
          <t>세종대장</t>
        </is>
      </c>
      <c r="P3208" s="4" t="n">
        <v>1</v>
      </c>
      <c r="Q3208" s="4" t="n">
        <v>2362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평지</t>
        </is>
      </c>
      <c r="U3208" s="3" t="inlineStr">
        <is>
          <t>부정형</t>
        </is>
      </c>
      <c r="V3208" s="3" t="inlineStr">
        <is>
          <t>광대로한면</t>
        </is>
      </c>
    </row>
    <row r="3209">
      <c r="A3209" s="3" t="inlineStr">
        <is>
          <t>조치원읍 침산리 216-2</t>
        </is>
      </c>
      <c r="B3209" s="3" t="inlineStr">
        <is>
          <t>제1종일반주거지역</t>
        </is>
      </c>
      <c r="C3209" s="3" t="inlineStr">
        <is>
          <t>잡종지</t>
        </is>
      </c>
      <c r="D3209" s="3" t="inlineStr">
        <is>
          <t>잡종지</t>
        </is>
      </c>
      <c r="E3209" s="3" t="inlineStr">
        <is>
          <t>매매</t>
        </is>
      </c>
      <c r="F3209" s="4" t="n">
        <v>250000</v>
      </c>
      <c r="G3209" s="4" t="n">
        <v>1422</v>
      </c>
      <c r="H3209" s="4" t="n">
        <v>430</v>
      </c>
      <c r="I3209" s="5" t="n">
        <v>581.4</v>
      </c>
      <c r="J3209" s="5" t="n">
        <v>412.6</v>
      </c>
      <c r="K3209" s="3" t="inlineStr">
        <is>
          <t>nan</t>
        </is>
      </c>
      <c r="L3209" s="6">
        <f>HYPERLINK("https://fin.land.naver.com/articles/2655366672", "매물Link")</f>
        <v/>
      </c>
      <c r="M3209" s="6">
        <f>HYPERLINK("https://map.naver.com/p/search/조치원읍 침산리 216-2", "지도Link")</f>
        <v/>
      </c>
      <c r="N3209" s="6">
        <f>HYPERLINK("http://www.eum.go.kr/web/ar/lu/luLandDet.jsp?pnu=3611025028102160002&amp;isNoScr=script&amp;mode=search", "토지이음")</f>
        <v/>
      </c>
      <c r="O3209" s="3" t="inlineStr">
        <is>
          <t>세종문화길</t>
        </is>
      </c>
      <c r="P3209" s="4" t="n">
        <v>1</v>
      </c>
      <c r="Q3209" s="4" t="n">
        <v>1422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중로한면</t>
        </is>
      </c>
    </row>
    <row r="3210">
      <c r="A3210" s="3" t="inlineStr">
        <is>
          <t>조치원읍 침산리 219-3</t>
        </is>
      </c>
      <c r="B3210" s="3" t="inlineStr">
        <is>
          <t>제1종일반주거지역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268000</v>
      </c>
      <c r="G3210" s="4" t="n">
        <v>1971</v>
      </c>
      <c r="H3210" s="4" t="n">
        <v>596</v>
      </c>
      <c r="I3210" s="5" t="n">
        <v>449.7</v>
      </c>
      <c r="J3210" s="5" t="n">
        <v>183.4</v>
      </c>
      <c r="K3210" s="3" t="inlineStr">
        <is>
          <t>도도리파크, 문화예술회관 맞은편 토지</t>
        </is>
      </c>
      <c r="L3210" s="6">
        <f>HYPERLINK("https://fin.land.naver.com/articles/2654897799", "매물Link")</f>
        <v/>
      </c>
      <c r="M3210" s="6">
        <f>HYPERLINK("https://map.naver.com/p/search/조치원읍 침산리 219-3", "지도Link")</f>
        <v/>
      </c>
      <c r="N3210" s="6">
        <f>HYPERLINK("http://www.eum.go.kr/web/ar/lu/luLandDet.jsp?pnu=3611025028102190003&amp;isNoScr=script&amp;mode=search", "토지이음")</f>
        <v/>
      </c>
      <c r="O3210" s="3" t="inlineStr">
        <is>
          <t>KB세종</t>
        </is>
      </c>
      <c r="P3210" s="4" t="n">
        <v>1</v>
      </c>
      <c r="Q3210" s="4" t="n">
        <v>1887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중로한면</t>
        </is>
      </c>
    </row>
    <row r="3211">
      <c r="A3211" s="3" t="inlineStr">
        <is>
          <t>조치원읍 침산리 219-3</t>
        </is>
      </c>
      <c r="B3211" s="3" t="inlineStr">
        <is>
          <t>제1종일반주거지역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268000</v>
      </c>
      <c r="G3211" s="4" t="n">
        <v>1971</v>
      </c>
      <c r="H3211" s="4" t="n">
        <v>596</v>
      </c>
      <c r="I3211" s="5" t="n">
        <v>449.7</v>
      </c>
      <c r="J3211" s="5" t="n">
        <v>183.4</v>
      </c>
      <c r="K3211" s="3" t="inlineStr">
        <is>
          <t>제1종일반주거지역, 코너토지,조치원하이마트,예술회관,조치원복컴등 인근위치</t>
        </is>
      </c>
      <c r="L3211" s="6">
        <f>HYPERLINK("https://fin.land.naver.com/articles/2656434499", "매물Link")</f>
        <v/>
      </c>
      <c r="M3211" s="6">
        <f>HYPERLINK("https://map.naver.com/p/search/조치원읍 침산리 219-3", "지도Link")</f>
        <v/>
      </c>
      <c r="N3211" s="6">
        <f>HYPERLINK("http://www.eum.go.kr/web/ar/lu/luLandDet.jsp?pnu=3611025028102190003&amp;isNoScr=script&amp;mode=search", "토지이음")</f>
        <v/>
      </c>
      <c r="O3211" s="3" t="inlineStr">
        <is>
          <t>세종일조</t>
        </is>
      </c>
      <c r="P3211" s="4" t="n">
        <v>1</v>
      </c>
      <c r="Q3211" s="4" t="n">
        <v>1887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평지</t>
        </is>
      </c>
      <c r="U3211" s="3" t="inlineStr">
        <is>
          <t>부정형</t>
        </is>
      </c>
      <c r="V3211" s="3" t="inlineStr">
        <is>
          <t>중로한면</t>
        </is>
      </c>
    </row>
    <row r="3212">
      <c r="A3212" s="3" t="inlineStr">
        <is>
          <t>조치원읍 침산리 219-7</t>
        </is>
      </c>
      <c r="B3212" s="3" t="inlineStr">
        <is>
          <t>제1종일반주거지역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136000</v>
      </c>
      <c r="G3212" s="4" t="n">
        <v>566</v>
      </c>
      <c r="H3212" s="4" t="n">
        <v>171</v>
      </c>
      <c r="I3212" s="5" t="n">
        <v>795.3</v>
      </c>
      <c r="J3212" s="5" t="n">
        <v>272.3</v>
      </c>
      <c r="K3212" s="3" t="inlineStr">
        <is>
          <t>침산리 대로변 넓고반듯한 토지 매매,다양활용</t>
        </is>
      </c>
      <c r="L3212" s="6">
        <f>HYPERLINK("https://fin.land.naver.com/articles/2652805884", "매물Link")</f>
        <v/>
      </c>
      <c r="M3212" s="6">
        <f>HYPERLINK("https://map.naver.com/p/search/조치원읍 침산리 219-7", "지도Link")</f>
        <v/>
      </c>
      <c r="N3212" s="6">
        <f>HYPERLINK("http://www.eum.go.kr/web/ar/lu/luLandDet.jsp?pnu=3611025028102190007&amp;isNoScr=script&amp;mode=search", "토지이음")</f>
        <v/>
      </c>
      <c r="O3212" s="3" t="inlineStr">
        <is>
          <t>다옴</t>
        </is>
      </c>
      <c r="P3212" s="4" t="n">
        <v>1</v>
      </c>
      <c r="Q3212" s="4" t="n">
        <v>566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중로각지</t>
        </is>
      </c>
    </row>
    <row r="3213">
      <c r="A3213" s="3" t="inlineStr">
        <is>
          <t>조치원읍 침산리 255-7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40000</v>
      </c>
      <c r="G3213" s="4" t="n">
        <v>251</v>
      </c>
      <c r="H3213" s="4" t="n">
        <v>76</v>
      </c>
      <c r="I3213" s="5" t="n">
        <v>526.3</v>
      </c>
      <c r="J3213" s="5" t="n">
        <v>289.8</v>
      </c>
      <c r="K3213" s="3" t="inlineStr">
        <is>
          <t>침산리 건축가능한 대지매물</t>
        </is>
      </c>
      <c r="L3213" s="6">
        <f>HYPERLINK("https://fin.land.naver.com/articles/2650857783", "매물Link")</f>
        <v/>
      </c>
      <c r="M3213" s="6">
        <f>HYPERLINK("https://map.naver.com/p/search/조치원읍 침산리 255-7", "지도Link")</f>
        <v/>
      </c>
      <c r="N3213" s="6">
        <f>HYPERLINK("http://www.eum.go.kr/web/ar/lu/luLandDet.jsp?pnu=3611025028102550007&amp;isNoScr=script&amp;mode=search", "토지이음")</f>
        <v/>
      </c>
      <c r="O3213" s="3" t="inlineStr">
        <is>
          <t>상희</t>
        </is>
      </c>
      <c r="P3213" s="4" t="n">
        <v>1</v>
      </c>
      <c r="Q3213" s="4" t="n">
        <v>251.7</v>
      </c>
      <c r="R3213" s="3" t="inlineStr">
        <is>
          <t>지정되지않음</t>
        </is>
      </c>
      <c r="S3213" s="3" t="inlineStr">
        <is>
          <t>주거기타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세로한면(가)</t>
        </is>
      </c>
    </row>
    <row r="3214">
      <c r="A3214" s="3" t="inlineStr">
        <is>
          <t>조치원읍 침산리 262-2</t>
        </is>
      </c>
      <c r="B3214" s="3" t="inlineStr">
        <is>
          <t>제2종일반주거지역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160</v>
      </c>
      <c r="H3214" s="4" t="n">
        <v>48</v>
      </c>
      <c r="I3214" s="5" t="n">
        <v>1145.8</v>
      </c>
      <c r="J3214" s="5" t="n">
        <v>376.9</v>
      </c>
      <c r="K3214" s="3" t="inlineStr">
        <is>
          <t>음식점으로 성업중인 토지와 상가 건물을 일괄하여 매매합니다.</t>
        </is>
      </c>
      <c r="L3214" s="6">
        <f>HYPERLINK("https://fin.land.naver.com/articles/2652461844", "매물Link")</f>
        <v/>
      </c>
      <c r="M3214" s="6">
        <f>HYPERLINK("https://map.naver.com/p/search/조치원읍 침산리 262-2", "지도Link")</f>
        <v/>
      </c>
      <c r="N3214" s="6">
        <f>HYPERLINK("http://www.eum.go.kr/web/ar/lu/luLandDet.jsp?pnu=3611025028102620002&amp;isNoScr=script&amp;mode=search", "토지이음")</f>
        <v/>
      </c>
      <c r="O3214" s="3" t="inlineStr">
        <is>
          <t>스마일세종</t>
        </is>
      </c>
      <c r="P3214" s="4" t="n">
        <v>1</v>
      </c>
      <c r="Q3214" s="4" t="n">
        <v>160.5</v>
      </c>
      <c r="R3214" s="3" t="inlineStr">
        <is>
          <t>지정되지않음</t>
        </is>
      </c>
      <c r="S3214" s="3" t="inlineStr">
        <is>
          <t>주상기타</t>
        </is>
      </c>
      <c r="T3214" s="3" t="inlineStr">
        <is>
          <t>평지</t>
        </is>
      </c>
      <c r="U3214" s="3" t="inlineStr">
        <is>
          <t>정방형</t>
        </is>
      </c>
      <c r="V3214" s="3" t="inlineStr">
        <is>
          <t>세로한면(가)</t>
        </is>
      </c>
    </row>
    <row r="3215">
      <c r="A3215" s="3" t="inlineStr">
        <is>
          <t>조치원읍 침산리 270-6</t>
        </is>
      </c>
      <c r="B3215" s="3" t="inlineStr">
        <is>
          <t>제2종일반주거지역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100000</v>
      </c>
      <c r="G3215" s="4" t="n">
        <v>345</v>
      </c>
      <c r="H3215" s="4" t="n">
        <v>104</v>
      </c>
      <c r="I3215" s="5" t="n">
        <v>961.5</v>
      </c>
      <c r="J3215" s="5" t="n">
        <v>570.2</v>
      </c>
      <c r="K3215" s="3" t="inlineStr">
        <is>
          <t>침산먹자중심,대로변 접한 반듯한 알짜토지</t>
        </is>
      </c>
      <c r="L3215" s="6">
        <f>HYPERLINK("https://fin.land.naver.com/articles/2653941730", "매물Link")</f>
        <v/>
      </c>
      <c r="M3215" s="6">
        <f>HYPERLINK("https://map.naver.com/p/search/조치원읍 침산리 270-6", "지도Link")</f>
        <v/>
      </c>
      <c r="N3215" s="6">
        <f>HYPERLINK("http://www.eum.go.kr/web/ar/lu/luLandDet.jsp?pnu=3611025028102700006&amp;isNoScr=script&amp;mode=search", "토지이음")</f>
        <v/>
      </c>
      <c r="O3215" s="3" t="inlineStr">
        <is>
          <t>다옴</t>
        </is>
      </c>
      <c r="P3215" s="4" t="n">
        <v>1</v>
      </c>
      <c r="Q3215" s="4" t="n">
        <v>345.3</v>
      </c>
      <c r="R3215" s="3" t="inlineStr">
        <is>
          <t>지정되지않음</t>
        </is>
      </c>
      <c r="S3215" s="3" t="inlineStr">
        <is>
          <t>상업용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중로한면</t>
        </is>
      </c>
    </row>
    <row r="3216">
      <c r="A3216" s="3" t="inlineStr">
        <is>
          <t>조치원읍 침산리 272-9</t>
        </is>
      </c>
      <c r="B3216" s="3" t="inlineStr">
        <is>
          <t>제2종일반주거지역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40000</v>
      </c>
      <c r="G3216" s="4" t="n">
        <v>187</v>
      </c>
      <c r="H3216" s="4" t="n">
        <v>57</v>
      </c>
      <c r="I3216" s="5" t="n">
        <v>701.8</v>
      </c>
      <c r="J3216" s="5" t="n">
        <v>323.2</v>
      </c>
      <c r="K3216" s="3" t="inlineStr">
        <is>
          <t>nan</t>
        </is>
      </c>
      <c r="L3216" s="6">
        <f>HYPERLINK("https://fin.land.naver.com/articles/2653948599", "매물Link")</f>
        <v/>
      </c>
      <c r="M3216" s="6">
        <f>HYPERLINK("https://map.naver.com/p/search/조치원읍 침산리 272-9", "지도Link")</f>
        <v/>
      </c>
      <c r="N3216" s="6">
        <f>HYPERLINK("http://www.eum.go.kr/web/ar/lu/luLandDet.jsp?pnu=3611025028102720009&amp;isNoScr=script&amp;mode=search", "토지이음")</f>
        <v/>
      </c>
      <c r="O3216" s="3" t="inlineStr">
        <is>
          <t>KB세종</t>
        </is>
      </c>
      <c r="P3216" s="4" t="n">
        <v>1</v>
      </c>
      <c r="Q3216" s="4" t="n">
        <v>187.5</v>
      </c>
      <c r="R3216" s="3" t="inlineStr">
        <is>
          <t>지정되지않음</t>
        </is>
      </c>
      <c r="S3216" s="3" t="inlineStr">
        <is>
          <t>주거기타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소로각지</t>
        </is>
      </c>
    </row>
    <row r="3217">
      <c r="A3217" s="3" t="inlineStr">
        <is>
          <t>조치원읍 침산리 278-1</t>
        </is>
      </c>
      <c r="B3217" s="3" t="inlineStr">
        <is>
          <t>제2종일반주거지역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100000</v>
      </c>
      <c r="G3217" s="4" t="n">
        <v>281</v>
      </c>
      <c r="H3217" s="4" t="n">
        <v>85</v>
      </c>
      <c r="I3217" s="5" t="n">
        <v>1176.5</v>
      </c>
      <c r="J3217" s="5" t="n">
        <v>363.6</v>
      </c>
      <c r="K3217" s="3" t="inlineStr">
        <is>
          <t>침산리 대로접한 귀한토지</t>
        </is>
      </c>
      <c r="L3217" s="6">
        <f>HYPERLINK("https://fin.land.naver.com/articles/2655699832", "매물Link")</f>
        <v/>
      </c>
      <c r="M3217" s="6">
        <f>HYPERLINK("https://map.naver.com/p/search/조치원읍 침산리 278-1", "지도Link")</f>
        <v/>
      </c>
      <c r="N3217" s="6">
        <f>HYPERLINK("http://www.eum.go.kr/web/ar/lu/luLandDet.jsp?pnu=3611025028102780001&amp;isNoScr=script&amp;mode=search", "토지이음")</f>
        <v/>
      </c>
      <c r="O3217" s="3" t="inlineStr">
        <is>
          <t>동백</t>
        </is>
      </c>
      <c r="P3217" s="4" t="n">
        <v>1</v>
      </c>
      <c r="Q3217" s="4" t="n">
        <v>281.3</v>
      </c>
      <c r="R3217" s="3" t="inlineStr">
        <is>
          <t>지정되지않음</t>
        </is>
      </c>
      <c r="S3217" s="3" t="inlineStr">
        <is>
          <t>상업용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소로각지</t>
        </is>
      </c>
    </row>
    <row r="3218">
      <c r="A3218" s="3" t="inlineStr">
        <is>
          <t>조치원읍 침산리 283-8</t>
        </is>
      </c>
      <c r="B3218" s="3" t="inlineStr">
        <is>
          <t>제2종일반주거지역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55000</v>
      </c>
      <c r="G3218" s="4" t="n">
        <v>265</v>
      </c>
      <c r="H3218" s="4" t="n">
        <v>80</v>
      </c>
      <c r="I3218" s="5" t="n">
        <v>687.5</v>
      </c>
      <c r="J3218" s="5" t="n">
        <v>441.7</v>
      </c>
      <c r="K3218" s="3" t="inlineStr">
        <is>
          <t>코너 대지 매매</t>
        </is>
      </c>
      <c r="L3218" s="6">
        <f>HYPERLINK("https://fin.land.naver.com/articles/2651765054", "매물Link")</f>
        <v/>
      </c>
      <c r="M3218" s="6">
        <f>HYPERLINK("https://map.naver.com/p/search/조치원읍 침산리 283-8", "지도Link")</f>
        <v/>
      </c>
      <c r="N3218" s="6">
        <f>HYPERLINK("http://www.eum.go.kr/web/ar/lu/luLandDet.jsp?pnu=3611025028102830008&amp;isNoScr=script&amp;mode=search", "토지이음")</f>
        <v/>
      </c>
      <c r="O3218" s="3" t="inlineStr">
        <is>
          <t>찬스</t>
        </is>
      </c>
      <c r="P3218" s="4" t="n">
        <v>1</v>
      </c>
      <c r="Q3218" s="4" t="n">
        <v>265.6</v>
      </c>
      <c r="R3218" s="3" t="inlineStr">
        <is>
          <t>지정되지않음</t>
        </is>
      </c>
      <c r="S3218" s="3" t="inlineStr">
        <is>
          <t>주상기타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소로각지</t>
        </is>
      </c>
    </row>
    <row r="3219">
      <c r="A3219" s="3" t="inlineStr">
        <is>
          <t>조치원읍 침산리 284-9</t>
        </is>
      </c>
      <c r="B3219" s="3" t="inlineStr">
        <is>
          <t>제2종일반주거지역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60000</v>
      </c>
      <c r="G3219" s="4" t="n">
        <v>238</v>
      </c>
      <c r="H3219" s="4" t="n">
        <v>72</v>
      </c>
      <c r="I3219" s="5" t="n">
        <v>833.3</v>
      </c>
      <c r="J3219" s="5" t="n">
        <v>283.1</v>
      </c>
      <c r="K3219" s="3" t="inlineStr">
        <is>
          <t>스타벅스가 선택한 그 입지, 세종 조치원 침산리 금쪽같은 토지 매매</t>
        </is>
      </c>
      <c r="L3219" s="6">
        <f>HYPERLINK("https://fin.land.naver.com/articles/2654652330", "매물Link")</f>
        <v/>
      </c>
      <c r="M3219" s="6">
        <f>HYPERLINK("https://map.naver.com/p/search/조치원읍 침산리 284-9", "지도Link")</f>
        <v/>
      </c>
      <c r="N3219" s="6">
        <f>HYPERLINK("http://www.eum.go.kr/web/ar/lu/luLandDet.jsp?pnu=3611025028102840009&amp;isNoScr=script&amp;mode=search", "토지이음")</f>
        <v/>
      </c>
      <c r="O3219" s="3" t="inlineStr">
        <is>
          <t>찬스</t>
        </is>
      </c>
      <c r="P3219" s="4" t="n">
        <v>1</v>
      </c>
      <c r="Q3219" s="4" t="n">
        <v>238.8</v>
      </c>
      <c r="R3219" s="3" t="inlineStr">
        <is>
          <t>지정되지않음</t>
        </is>
      </c>
      <c r="S3219" s="3" t="inlineStr">
        <is>
          <t>주거기타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조치원읍 침산리 285-16</t>
        </is>
      </c>
      <c r="B3220" s="3" t="inlineStr">
        <is>
          <t>제2종일반주거지역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38630</v>
      </c>
      <c r="G3220" s="4" t="n">
        <v>255</v>
      </c>
      <c r="H3220" s="4" t="n">
        <v>77</v>
      </c>
      <c r="I3220" s="5" t="n">
        <v>501.7</v>
      </c>
      <c r="J3220" s="5" t="n">
        <v>301.6</v>
      </c>
      <c r="K3220" s="3" t="inlineStr">
        <is>
          <t>구역정리된 지역임</t>
        </is>
      </c>
      <c r="L3220" s="6">
        <f>HYPERLINK("https://fin.land.naver.com/articles/2652215917", "매물Link")</f>
        <v/>
      </c>
      <c r="M3220" s="6">
        <f>HYPERLINK("https://map.naver.com/p/search/조치원읍 침산리 285-16", "지도Link")</f>
        <v/>
      </c>
      <c r="N3220" s="6">
        <f>HYPERLINK("http://www.eum.go.kr/web/ar/lu/luLandDet.jsp?pnu=3611025028102850016&amp;isNoScr=script&amp;mode=search", "토지이음")</f>
        <v/>
      </c>
      <c r="O3220" s="3" t="inlineStr">
        <is>
          <t>한일</t>
        </is>
      </c>
      <c r="P3220" s="4" t="n">
        <v>1</v>
      </c>
      <c r="Q3220" s="4" t="n">
        <v>255.4</v>
      </c>
      <c r="R3220" s="3" t="inlineStr">
        <is>
          <t>지정되지않음</t>
        </is>
      </c>
      <c r="S3220" s="3" t="inlineStr">
        <is>
          <t>주상기타</t>
        </is>
      </c>
      <c r="T3220" s="3" t="inlineStr">
        <is>
          <t>평지</t>
        </is>
      </c>
      <c r="U3220" s="3" t="inlineStr">
        <is>
          <t>정방형</t>
        </is>
      </c>
      <c r="V3220" s="3" t="inlineStr">
        <is>
          <t>소로한면</t>
        </is>
      </c>
    </row>
    <row r="3221">
      <c r="A3221" s="3" t="inlineStr">
        <is>
          <t>조치원읍 침산리 40</t>
        </is>
      </c>
      <c r="B3221" s="3" t="inlineStr">
        <is>
          <t>제1종일반주거지역</t>
        </is>
      </c>
      <c r="C3221" s="3" t="inlineStr">
        <is>
          <t>전</t>
        </is>
      </c>
      <c r="D3221" s="3" t="inlineStr">
        <is>
          <t>전</t>
        </is>
      </c>
      <c r="E3221" s="3" t="inlineStr">
        <is>
          <t>매매</t>
        </is>
      </c>
      <c r="F3221" s="4" t="n">
        <v>256000</v>
      </c>
      <c r="G3221" s="4" t="n">
        <v>2116</v>
      </c>
      <c r="H3221" s="4" t="n">
        <v>640</v>
      </c>
      <c r="I3221" s="5" t="n">
        <v>400</v>
      </c>
      <c r="J3221" s="5" t="n">
        <v>177.6</v>
      </c>
      <c r="K3221" s="3" t="inlineStr">
        <is>
          <t>침산리 토지매매</t>
        </is>
      </c>
      <c r="L3221" s="6">
        <f>HYPERLINK("https://fin.land.naver.com/articles/2654532187", "매물Link")</f>
        <v/>
      </c>
      <c r="M3221" s="6">
        <f>HYPERLINK("https://map.naver.com/p/search/조치원읍 침산리 40", "지도Link")</f>
        <v/>
      </c>
      <c r="N3221" s="6">
        <f>HYPERLINK("http://www.eum.go.kr/web/ar/lu/luLandDet.jsp?pnu=3611025028100400000&amp;isNoScr=script&amp;mode=search", "토지이음")</f>
        <v/>
      </c>
      <c r="O3221" s="3" t="inlineStr">
        <is>
          <t>김준희</t>
        </is>
      </c>
      <c r="P3221" s="4" t="n">
        <v>1</v>
      </c>
      <c r="Q3221" s="4" t="n">
        <v>1924</v>
      </c>
      <c r="R3221" s="3" t="inlineStr">
        <is>
          <t>지정되지않음</t>
        </is>
      </c>
      <c r="S3221" s="3" t="inlineStr">
        <is>
          <t>전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조치원읍 평리 101-2</t>
        </is>
      </c>
      <c r="B3222" s="3" t="inlineStr">
        <is>
          <t>제2종일반주거지역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60000</v>
      </c>
      <c r="G3222" s="4" t="n">
        <v>356</v>
      </c>
      <c r="H3222" s="4" t="n">
        <v>108</v>
      </c>
      <c r="I3222" s="5" t="n">
        <v>555.6</v>
      </c>
      <c r="J3222" s="5" t="n">
        <v>175.8</v>
      </c>
      <c r="K3222" s="3" t="inlineStr">
        <is>
          <t>남향토지,도로지분포함,조치원 시장 도보5분거리 위치,</t>
        </is>
      </c>
      <c r="L3222" s="6">
        <f>HYPERLINK("https://fin.land.naver.com/articles/2652137848", "매물Link")</f>
        <v/>
      </c>
      <c r="M3222" s="6">
        <f>HYPERLINK("https://map.naver.com/p/search/조치원읍 평리 101-2", "지도Link")</f>
        <v/>
      </c>
      <c r="N3222" s="6">
        <f>HYPERLINK("http://www.eum.go.kr/web/ar/lu/luLandDet.jsp?pnu=3611025023101010002&amp;isNoScr=script&amp;mode=search", "토지이음")</f>
        <v/>
      </c>
      <c r="O3222" s="3" t="inlineStr">
        <is>
          <t>담뜰</t>
        </is>
      </c>
      <c r="P3222" s="4" t="n">
        <v>1</v>
      </c>
      <c r="Q3222" s="4" t="n">
        <v>356</v>
      </c>
      <c r="R3222" s="3" t="inlineStr">
        <is>
          <t>지정되지않음</t>
        </is>
      </c>
      <c r="S3222" s="3" t="inlineStr">
        <is>
          <t>단독</t>
        </is>
      </c>
      <c r="T3222" s="3" t="inlineStr">
        <is>
          <t>평지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조치원읍 평리 101-2</t>
        </is>
      </c>
      <c r="B3223" s="3" t="inlineStr">
        <is>
          <t>제2종일반주거지역</t>
        </is>
      </c>
      <c r="C3223" s="3" t="inlineStr">
        <is>
          <t>대</t>
        </is>
      </c>
      <c r="D3223" s="3" t="inlineStr">
        <is>
          <t>대</t>
        </is>
      </c>
      <c r="E3223" s="3" t="inlineStr">
        <is>
          <t>매매</t>
        </is>
      </c>
      <c r="F3223" s="4" t="n">
        <v>60000</v>
      </c>
      <c r="G3223" s="4" t="n">
        <v>356</v>
      </c>
      <c r="H3223" s="4" t="n">
        <v>108</v>
      </c>
      <c r="I3223" s="5" t="n">
        <v>555.6</v>
      </c>
      <c r="J3223" s="5" t="n">
        <v>175.8</v>
      </c>
      <c r="K3223" s="3" t="inlineStr">
        <is>
          <t>8미터도로연접, 다가구부지 추천매매</t>
        </is>
      </c>
      <c r="L3223" s="6">
        <f>HYPERLINK("https://fin.land.naver.com/articles/2653056560", "매물Link")</f>
        <v/>
      </c>
      <c r="M3223" s="6">
        <f>HYPERLINK("https://map.naver.com/p/search/조치원읍 평리 101-2", "지도Link")</f>
        <v/>
      </c>
      <c r="N3223" s="6">
        <f>HYPERLINK("http://www.eum.go.kr/web/ar/lu/luLandDet.jsp?pnu=3611025023101010002&amp;isNoScr=script&amp;mode=search", "토지이음")</f>
        <v/>
      </c>
      <c r="O3223" s="3" t="inlineStr">
        <is>
          <t>Home</t>
        </is>
      </c>
      <c r="P3223" s="4" t="n">
        <v>1</v>
      </c>
      <c r="Q3223" s="4" t="n">
        <v>356</v>
      </c>
      <c r="R3223" s="3" t="inlineStr">
        <is>
          <t>지정되지않음</t>
        </is>
      </c>
      <c r="S3223" s="3" t="inlineStr">
        <is>
          <t>단독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세로한면(가)</t>
        </is>
      </c>
    </row>
    <row r="3224">
      <c r="A3224" s="3" t="inlineStr">
        <is>
          <t>집현동 1219</t>
        </is>
      </c>
      <c r="B3224" s="3" t="inlineStr">
        <is>
          <t>제1종전용주거지역</t>
        </is>
      </c>
      <c r="C3224" s="3" t="inlineStr">
        <is>
          <t>대</t>
        </is>
      </c>
      <c r="D3224" s="3" t="inlineStr">
        <is>
          <t>대</t>
        </is>
      </c>
      <c r="E3224" s="3" t="inlineStr">
        <is>
          <t>매매</t>
        </is>
      </c>
      <c r="F3224" s="4" t="n">
        <v>42000</v>
      </c>
      <c r="G3224" s="4" t="n">
        <v>318</v>
      </c>
      <c r="H3224" s="4" t="n">
        <v>96</v>
      </c>
      <c r="I3224" s="5" t="n">
        <v>437.5</v>
      </c>
      <c r="J3224" s="5" t="n">
        <v>277.7</v>
      </c>
      <c r="K3224" s="3" t="inlineStr">
        <is>
          <t>급매 집현동D1 남향택지 상가 학교가까움</t>
        </is>
      </c>
      <c r="L3224" s="6">
        <f>HYPERLINK("https://fin.land.naver.com/articles/2653175765", "매물Link")</f>
        <v/>
      </c>
      <c r="M3224" s="6">
        <f>HYPERLINK("https://map.naver.com/p/search/집현동 1219", "지도Link")</f>
        <v/>
      </c>
      <c r="N3224" s="6">
        <f>HYPERLINK("http://www.eum.go.kr/web/ar/lu/luLandDet.jsp?pnu=3611011800112190000&amp;isNoScr=script&amp;mode=search", "토지이음")</f>
        <v/>
      </c>
      <c r="O3224" s="3" t="inlineStr">
        <is>
          <t>세종스타</t>
        </is>
      </c>
      <c r="P3224" s="4" t="n">
        <v>2</v>
      </c>
      <c r="Q3224" s="4" t="n">
        <v>318.9</v>
      </c>
      <c r="R3224" s="3" t="inlineStr">
        <is>
          <t>지정되지않음</t>
        </is>
      </c>
      <c r="S3224" s="3" t="inlineStr">
        <is>
          <t>주거나지</t>
        </is>
      </c>
      <c r="T3224" s="3" t="inlineStr">
        <is>
          <t>평지</t>
        </is>
      </c>
      <c r="U3224" s="3" t="inlineStr">
        <is>
          <t>가로장방</t>
        </is>
      </c>
      <c r="V3224" s="3" t="inlineStr">
        <is>
          <t>소로각지</t>
        </is>
      </c>
    </row>
    <row r="3225">
      <c r="A3225" s="3" t="inlineStr">
        <is>
          <t>집현동 1226</t>
        </is>
      </c>
      <c r="B3225" s="3" t="inlineStr">
        <is>
          <t>제1종전용주거지역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54000</v>
      </c>
      <c r="G3225" s="4" t="n">
        <v>305</v>
      </c>
      <c r="H3225" s="4" t="n">
        <v>92</v>
      </c>
      <c r="I3225" s="5" t="n">
        <v>587</v>
      </c>
      <c r="J3225" s="5" t="n">
        <v>267.1</v>
      </c>
      <c r="K3225" s="3" t="inlineStr">
        <is>
          <t>집현동 위치 좋은 단독주택, 사거리 코너 입지</t>
        </is>
      </c>
      <c r="L3225" s="6">
        <f>HYPERLINK("https://fin.land.naver.com/articles/2652843192", "매물Link")</f>
        <v/>
      </c>
      <c r="M3225" s="6">
        <f>HYPERLINK("https://map.naver.com/p/search/집현동 1226", "지도Link")</f>
        <v/>
      </c>
      <c r="N3225" s="6">
        <f>HYPERLINK("http://www.eum.go.kr/web/ar/lu/luLandDet.jsp?pnu=3611011800112260000&amp;isNoScr=script&amp;mode=search", "토지이음")</f>
        <v/>
      </c>
      <c r="O3225" s="3" t="inlineStr">
        <is>
          <t>세종무지개</t>
        </is>
      </c>
      <c r="P3225" s="4" t="n">
        <v>1</v>
      </c>
      <c r="Q3225" s="4" t="n">
        <v>305.3</v>
      </c>
      <c r="R3225" s="3" t="inlineStr">
        <is>
          <t>지정되지않음</t>
        </is>
      </c>
      <c r="S3225" s="3" t="inlineStr">
        <is>
          <t>주거나지</t>
        </is>
      </c>
      <c r="T3225" s="3" t="inlineStr">
        <is>
          <t>평지</t>
        </is>
      </c>
      <c r="U3225" s="3" t="inlineStr">
        <is>
          <t>세로장방</t>
        </is>
      </c>
      <c r="V3225" s="3" t="inlineStr">
        <is>
          <t>소로한면</t>
        </is>
      </c>
    </row>
    <row r="3226">
      <c r="A3226" s="3" t="inlineStr">
        <is>
          <t>집현동 1226</t>
        </is>
      </c>
      <c r="B3226" s="3" t="inlineStr">
        <is>
          <t>제1종전용주거지역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54000</v>
      </c>
      <c r="G3226" s="4" t="n">
        <v>305</v>
      </c>
      <c r="H3226" s="4" t="n">
        <v>92</v>
      </c>
      <c r="I3226" s="5" t="n">
        <v>587</v>
      </c>
      <c r="J3226" s="5" t="n">
        <v>267.1</v>
      </c>
      <c r="K3226" s="3" t="inlineStr">
        <is>
          <t>집현동단독택지매매 위치좋은토지 가격조정가능</t>
        </is>
      </c>
      <c r="L3226" s="6">
        <f>HYPERLINK("https://fin.land.naver.com/articles/2653640411", "매물Link")</f>
        <v/>
      </c>
      <c r="M3226" s="6">
        <f>HYPERLINK("https://map.naver.com/p/search/집현동 1226", "지도Link")</f>
        <v/>
      </c>
      <c r="N3226" s="6">
        <f>HYPERLINK("http://www.eum.go.kr/web/ar/lu/luLandDet.jsp?pnu=3611011800112260000&amp;isNoScr=script&amp;mode=search", "토지이음")</f>
        <v/>
      </c>
      <c r="O3226" s="3" t="inlineStr">
        <is>
          <t>고운동리치세종</t>
        </is>
      </c>
      <c r="P3226" s="4" t="n">
        <v>1</v>
      </c>
      <c r="Q3226" s="4" t="n">
        <v>305.3</v>
      </c>
      <c r="R3226" s="3" t="inlineStr">
        <is>
          <t>지정되지않음</t>
        </is>
      </c>
      <c r="S3226" s="3" t="inlineStr">
        <is>
          <t>주거나지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소로한면</t>
        </is>
      </c>
    </row>
    <row r="3227">
      <c r="A3227" s="3" t="inlineStr">
        <is>
          <t>집현동 1226</t>
        </is>
      </c>
      <c r="B3227" s="3" t="inlineStr">
        <is>
          <t>제1종전용주거지역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54000</v>
      </c>
      <c r="G3227" s="4" t="n">
        <v>305</v>
      </c>
      <c r="H3227" s="4" t="n">
        <v>92</v>
      </c>
      <c r="I3227" s="5" t="n">
        <v>587</v>
      </c>
      <c r="J3227" s="5" t="n">
        <v>267.1</v>
      </c>
      <c r="K3227" s="3" t="inlineStr">
        <is>
          <t>집현동 위치 좋은 단독주택 토지매매, 사거리 코너 입지</t>
        </is>
      </c>
      <c r="L3227" s="6">
        <f>HYPERLINK("https://fin.land.naver.com/articles/2654229358", "매물Link")</f>
        <v/>
      </c>
      <c r="M3227" s="6">
        <f>HYPERLINK("https://map.naver.com/p/search/집현동 1226", "지도Link")</f>
        <v/>
      </c>
      <c r="N3227" s="6">
        <f>HYPERLINK("http://www.eum.go.kr/web/ar/lu/luLandDet.jsp?pnu=3611011800112260000&amp;isNoScr=script&amp;mode=search", "토지이음")</f>
        <v/>
      </c>
      <c r="O3227" s="3" t="inlineStr">
        <is>
          <t>명진</t>
        </is>
      </c>
      <c r="P3227" s="4" t="n">
        <v>1</v>
      </c>
      <c r="Q3227" s="4" t="n">
        <v>305.3</v>
      </c>
      <c r="R3227" s="3" t="inlineStr">
        <is>
          <t>지정되지않음</t>
        </is>
      </c>
      <c r="S3227" s="3" t="inlineStr">
        <is>
          <t>주거나지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소로한면</t>
        </is>
      </c>
    </row>
    <row r="3228">
      <c r="A3228" s="3" t="inlineStr">
        <is>
          <t>집현동 1240</t>
        </is>
      </c>
      <c r="B3228" s="3" t="inlineStr">
        <is>
          <t>제1종전용주거지역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40800</v>
      </c>
      <c r="G3228" s="4" t="n">
        <v>273</v>
      </c>
      <c r="H3228" s="4" t="n">
        <v>83</v>
      </c>
      <c r="I3228" s="5" t="n">
        <v>491.6</v>
      </c>
      <c r="J3228" s="5" t="n">
        <v>264.5</v>
      </c>
      <c r="K3228" s="3" t="inlineStr">
        <is>
          <t>nan</t>
        </is>
      </c>
      <c r="L3228" s="6">
        <f>HYPERLINK("https://fin.land.naver.com/articles/2654263055", "매물Link")</f>
        <v/>
      </c>
      <c r="M3228" s="6">
        <f>HYPERLINK("https://map.naver.com/p/search/집현동 1240", "지도Link")</f>
        <v/>
      </c>
      <c r="N3228" s="6">
        <f>HYPERLINK("http://www.eum.go.kr/web/ar/lu/luLandDet.jsp?pnu=3611011800112400000&amp;isNoScr=script&amp;mode=search", "토지이음")</f>
        <v/>
      </c>
      <c r="O3228" s="3" t="inlineStr">
        <is>
          <t>우리들</t>
        </is>
      </c>
      <c r="P3228" s="4" t="n">
        <v>1</v>
      </c>
      <c r="Q3228" s="4" t="n">
        <v>273.9</v>
      </c>
      <c r="R3228" s="3" t="inlineStr">
        <is>
          <t>지정되지않음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소로한면</t>
        </is>
      </c>
    </row>
    <row r="3229">
      <c r="A3229" s="3" t="inlineStr">
        <is>
          <t>집현동 1244</t>
        </is>
      </c>
      <c r="B3229" s="3" t="inlineStr">
        <is>
          <t>제1종전용주거지역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60000</v>
      </c>
      <c r="G3229" s="4" t="n">
        <v>323</v>
      </c>
      <c r="H3229" s="4" t="n">
        <v>98</v>
      </c>
      <c r="I3229" s="5" t="n">
        <v>612.2</v>
      </c>
      <c r="J3229" s="5" t="n">
        <v>275</v>
      </c>
      <c r="K3229" s="3" t="inlineStr">
        <is>
          <t>코너자리로 조용한고 편한 공원뷰 위치 가격조정가능</t>
        </is>
      </c>
      <c r="L3229" s="6">
        <f>HYPERLINK("https://fin.land.naver.com/articles/2654727757", "매물Link")</f>
        <v/>
      </c>
      <c r="M3229" s="6">
        <f>HYPERLINK("https://map.naver.com/p/search/집현동 1244", "지도Link")</f>
        <v/>
      </c>
      <c r="N3229" s="6">
        <f>HYPERLINK("http://www.eum.go.kr/web/ar/lu/luLandDet.jsp?pnu=3611011800112440000&amp;isNoScr=script&amp;mode=search", "토지이음")</f>
        <v/>
      </c>
      <c r="O3229" s="3" t="inlineStr">
        <is>
          <t>고운동리치세종</t>
        </is>
      </c>
      <c r="P3229" s="4" t="n">
        <v>1</v>
      </c>
      <c r="Q3229" s="4" t="n">
        <v>323</v>
      </c>
      <c r="R3229" s="3" t="inlineStr">
        <is>
          <t>지정되지않음</t>
        </is>
      </c>
      <c r="S3229" s="3" t="inlineStr">
        <is>
          <t>주거나지</t>
        </is>
      </c>
      <c r="T3229" s="3" t="inlineStr">
        <is>
          <t>평지</t>
        </is>
      </c>
      <c r="U3229" s="3" t="inlineStr">
        <is>
          <t>가로장방</t>
        </is>
      </c>
      <c r="V3229" s="3" t="inlineStr">
        <is>
          <t>소로각지</t>
        </is>
      </c>
    </row>
    <row r="3230">
      <c r="A3230" s="3" t="inlineStr">
        <is>
          <t>집현동 1244</t>
        </is>
      </c>
      <c r="B3230" s="3" t="inlineStr">
        <is>
          <t>제1종전용주거지역</t>
        </is>
      </c>
      <c r="C3230" s="3" t="inlineStr">
        <is>
          <t>대</t>
        </is>
      </c>
      <c r="D3230" s="3" t="inlineStr">
        <is>
          <t>대</t>
        </is>
      </c>
      <c r="E3230" s="3" t="inlineStr">
        <is>
          <t>매매</t>
        </is>
      </c>
      <c r="F3230" s="4" t="n">
        <v>60000</v>
      </c>
      <c r="G3230" s="4" t="n">
        <v>323</v>
      </c>
      <c r="H3230" s="4" t="n">
        <v>98</v>
      </c>
      <c r="I3230" s="5" t="n">
        <v>612.2</v>
      </c>
      <c r="J3230" s="5" t="n">
        <v>275</v>
      </c>
      <c r="K3230" s="3" t="inlineStr">
        <is>
          <t>코너각지 위치한 토지매매, 공원과 삼성천 뷰 가능</t>
        </is>
      </c>
      <c r="L3230" s="6">
        <f>HYPERLINK("https://fin.land.naver.com/articles/2655487522", "매물Link")</f>
        <v/>
      </c>
      <c r="M3230" s="6">
        <f>HYPERLINK("https://map.naver.com/p/search/집현동 1244", "지도Link")</f>
        <v/>
      </c>
      <c r="N3230" s="6">
        <f>HYPERLINK("http://www.eum.go.kr/web/ar/lu/luLandDet.jsp?pnu=3611011800112440000&amp;isNoScr=script&amp;mode=search", "토지이음")</f>
        <v/>
      </c>
      <c r="O3230" s="3" t="inlineStr">
        <is>
          <t>세종무지개</t>
        </is>
      </c>
      <c r="P3230" s="4" t="n">
        <v>1</v>
      </c>
      <c r="Q3230" s="4" t="n">
        <v>323</v>
      </c>
      <c r="R3230" s="3" t="inlineStr">
        <is>
          <t>지정되지않음</t>
        </is>
      </c>
      <c r="S3230" s="3" t="inlineStr">
        <is>
          <t>주거나지</t>
        </is>
      </c>
      <c r="T3230" s="3" t="inlineStr">
        <is>
          <t>평지</t>
        </is>
      </c>
      <c r="U3230" s="3" t="inlineStr">
        <is>
          <t>가로장방</t>
        </is>
      </c>
      <c r="V3230" s="3" t="inlineStr">
        <is>
          <t>소로각지</t>
        </is>
      </c>
    </row>
    <row r="3231">
      <c r="A3231" s="3" t="inlineStr">
        <is>
          <t>집현동 1255</t>
        </is>
      </c>
      <c r="B3231" s="3" t="inlineStr">
        <is>
          <t>제1종전용주거지역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</v>
      </c>
      <c r="G3231" s="4" t="n">
        <v>277</v>
      </c>
      <c r="H3231" s="4" t="n">
        <v>84</v>
      </c>
      <c r="I3231" s="5" t="n">
        <v>500</v>
      </c>
      <c r="J3231" s="5" t="n">
        <v>275</v>
      </c>
      <c r="K3231" s="3" t="inlineStr">
        <is>
          <t>추천. 집현동 코너 택지</t>
        </is>
      </c>
      <c r="L3231" s="6">
        <f>HYPERLINK("https://fin.land.naver.com/articles/2651894833", "매물Link")</f>
        <v/>
      </c>
      <c r="M3231" s="6">
        <f>HYPERLINK("https://map.naver.com/p/search/집현동 1255", "지도Link")</f>
        <v/>
      </c>
      <c r="N3231" s="6">
        <f>HYPERLINK("http://www.eum.go.kr/web/ar/lu/luLandDet.jsp?pnu=3611011800112550000&amp;isNoScr=script&amp;mode=search", "토지이음")</f>
        <v/>
      </c>
      <c r="O3231" s="3" t="inlineStr">
        <is>
          <t>강아지풀</t>
        </is>
      </c>
      <c r="P3231" s="4" t="n">
        <v>1</v>
      </c>
      <c r="Q3231" s="4" t="n">
        <v>277</v>
      </c>
      <c r="R3231" s="3" t="inlineStr">
        <is>
          <t>지정되지않음</t>
        </is>
      </c>
      <c r="S3231" s="3" t="inlineStr">
        <is>
          <t>주거나지</t>
        </is>
      </c>
      <c r="T3231" s="3" t="inlineStr">
        <is>
          <t>평지</t>
        </is>
      </c>
      <c r="U3231" s="3" t="inlineStr">
        <is>
          <t>가로장방</t>
        </is>
      </c>
      <c r="V3231" s="3" t="inlineStr">
        <is>
          <t>소로각지</t>
        </is>
      </c>
    </row>
    <row r="3232">
      <c r="A3232" s="3" t="inlineStr">
        <is>
          <t>집현동 1281</t>
        </is>
      </c>
      <c r="B3232" s="3" t="inlineStr">
        <is>
          <t>제1종전용주거지역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160000</v>
      </c>
      <c r="G3232" s="4" t="n">
        <v>521</v>
      </c>
      <c r="H3232" s="4" t="n">
        <v>158</v>
      </c>
      <c r="I3232" s="5" t="n">
        <v>1012.7</v>
      </c>
      <c r="J3232" s="5" t="n">
        <v>320.7</v>
      </c>
      <c r="K3232" s="3" t="inlineStr">
        <is>
          <t>급매 집현동 횡단보도앞 위치좋은 근생부지</t>
        </is>
      </c>
      <c r="L3232" s="6">
        <f>HYPERLINK("https://fin.land.naver.com/articles/2653666306", "매물Link")</f>
        <v/>
      </c>
      <c r="M3232" s="6">
        <f>HYPERLINK("https://map.naver.com/p/search/집현동 1281", "지도Link")</f>
        <v/>
      </c>
      <c r="N3232" s="6">
        <f>HYPERLINK("http://www.eum.go.kr/web/ar/lu/luLandDet.jsp?pnu=3611011800112810000&amp;isNoScr=script&amp;mode=search", "토지이음")</f>
        <v/>
      </c>
      <c r="O3232" s="3" t="inlineStr">
        <is>
          <t>세종스타</t>
        </is>
      </c>
      <c r="P3232" s="4" t="n">
        <v>1</v>
      </c>
      <c r="Q3232" s="4" t="n">
        <v>520.5</v>
      </c>
      <c r="R3232" s="3" t="inlineStr">
        <is>
          <t>지정되지않음</t>
        </is>
      </c>
      <c r="S3232" s="3" t="inlineStr">
        <is>
          <t>상업나지</t>
        </is>
      </c>
      <c r="T3232" s="3" t="inlineStr">
        <is>
          <t>평지</t>
        </is>
      </c>
      <c r="U3232" s="3" t="inlineStr">
        <is>
          <t>정방형</t>
        </is>
      </c>
      <c r="V3232" s="3" t="inlineStr">
        <is>
          <t>광대소각</t>
        </is>
      </c>
    </row>
    <row r="3233">
      <c r="A3233" s="3" t="inlineStr">
        <is>
          <t>집현동 1303</t>
        </is>
      </c>
      <c r="B3233" s="3" t="inlineStr">
        <is>
          <t>제1종전용주거지역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45000</v>
      </c>
      <c r="G3233" s="4" t="n">
        <v>308</v>
      </c>
      <c r="H3233" s="4" t="n">
        <v>93</v>
      </c>
      <c r="I3233" s="5" t="n">
        <v>483.9</v>
      </c>
      <c r="J3233" s="5" t="n">
        <v>268.2</v>
      </c>
      <c r="K3233" s="3" t="inlineStr">
        <is>
          <t>D2 남향 보행로접 조율가능</t>
        </is>
      </c>
      <c r="L3233" s="6">
        <f>HYPERLINK("https://fin.land.naver.com/articles/2656214079", "매물Link")</f>
        <v/>
      </c>
      <c r="M3233" s="6">
        <f>HYPERLINK("https://map.naver.com/p/search/집현동 1303", "지도Link")</f>
        <v/>
      </c>
      <c r="N3233" s="6">
        <f>HYPERLINK("http://www.eum.go.kr/web/ar/lu/luLandDet.jsp?pnu=3611011800113030000&amp;isNoScr=script&amp;mode=search", "토지이음")</f>
        <v/>
      </c>
      <c r="O3233" s="3" t="inlineStr">
        <is>
          <t>세종스타</t>
        </is>
      </c>
      <c r="P3233" s="4" t="n">
        <v>1</v>
      </c>
      <c r="Q3233" s="4" t="n">
        <v>308.7</v>
      </c>
      <c r="R3233" s="3" t="inlineStr">
        <is>
          <t>지정되지않음</t>
        </is>
      </c>
      <c r="S3233" s="3" t="inlineStr">
        <is>
          <t>주거나지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집현동 1304</t>
        </is>
      </c>
      <c r="B3234" s="3" t="inlineStr">
        <is>
          <t>제1종전용주거지역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47000</v>
      </c>
      <c r="G3234" s="4" t="n">
        <v>309</v>
      </c>
      <c r="H3234" s="4" t="n">
        <v>93</v>
      </c>
      <c r="I3234" s="5" t="n">
        <v>505.4</v>
      </c>
      <c r="J3234" s="5" t="n">
        <v>268.2</v>
      </c>
      <c r="K3234" s="3" t="inlineStr">
        <is>
          <t>명성공인, 전용93, 집현동 택지 추천 매물</t>
        </is>
      </c>
      <c r="L3234" s="6">
        <f>HYPERLINK("https://fin.land.naver.com/articles/2653841370", "매물Link")</f>
        <v/>
      </c>
      <c r="M3234" s="6">
        <f>HYPERLINK("https://map.naver.com/p/search/집현동 1304", "지도Link")</f>
        <v/>
      </c>
      <c r="N3234" s="6">
        <f>HYPERLINK("http://www.eum.go.kr/web/ar/lu/luLandDet.jsp?pnu=3611011800113040000&amp;isNoScr=script&amp;mode=search", "토지이음")</f>
        <v/>
      </c>
      <c r="O3234" s="3" t="inlineStr">
        <is>
          <t>명성</t>
        </is>
      </c>
      <c r="P3234" s="4" t="n">
        <v>1</v>
      </c>
      <c r="Q3234" s="4" t="n">
        <v>308.7</v>
      </c>
      <c r="R3234" s="3" t="inlineStr">
        <is>
          <t>지정되지않음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집현동 1307</t>
        </is>
      </c>
      <c r="B3235" s="3" t="inlineStr">
        <is>
          <t>제1종전용주거지역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61000</v>
      </c>
      <c r="G3235" s="4" t="n">
        <v>300</v>
      </c>
      <c r="H3235" s="4" t="n">
        <v>91</v>
      </c>
      <c r="I3235" s="5" t="n">
        <v>670.3</v>
      </c>
      <c r="J3235" s="5" t="n">
        <v>278.9</v>
      </c>
      <c r="K3235" s="3" t="inlineStr">
        <is>
          <t>남향 코너 택지｜공원 조망 삼성천 괴화산 숲세권</t>
        </is>
      </c>
      <c r="L3235" s="6">
        <f>HYPERLINK("https://fin.land.naver.com/articles/2655725259", "매물Link")</f>
        <v/>
      </c>
      <c r="M3235" s="6">
        <f>HYPERLINK("https://map.naver.com/p/search/집현동 1307", "지도Link")</f>
        <v/>
      </c>
      <c r="N3235" s="6">
        <f>HYPERLINK("http://www.eum.go.kr/web/ar/lu/luLandDet.jsp?pnu=3611011800113070000&amp;isNoScr=script&amp;mode=search", "토지이음")</f>
        <v/>
      </c>
      <c r="O3235" s="3" t="inlineStr">
        <is>
          <t>세종신한</t>
        </is>
      </c>
      <c r="P3235" s="4" t="n">
        <v>1</v>
      </c>
      <c r="Q3235" s="4" t="n">
        <v>300.7</v>
      </c>
      <c r="R3235" s="3" t="inlineStr">
        <is>
          <t>지정되지않음</t>
        </is>
      </c>
      <c r="S3235" s="3" t="inlineStr">
        <is>
          <t>주거나지</t>
        </is>
      </c>
      <c r="T3235" s="3" t="inlineStr">
        <is>
          <t>평지</t>
        </is>
      </c>
      <c r="U3235" s="3" t="inlineStr">
        <is>
          <t>가로장방</t>
        </is>
      </c>
      <c r="V3235" s="3" t="inlineStr">
        <is>
          <t>소로각지</t>
        </is>
      </c>
    </row>
    <row r="3236">
      <c r="A3236" s="3" t="inlineStr">
        <is>
          <t>집현동 1310</t>
        </is>
      </c>
      <c r="B3236" s="3" t="inlineStr">
        <is>
          <t>제1종전용주거지역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37000</v>
      </c>
      <c r="G3236" s="4" t="n">
        <v>279</v>
      </c>
      <c r="H3236" s="4" t="n">
        <v>84</v>
      </c>
      <c r="I3236" s="5" t="n">
        <v>440.5</v>
      </c>
      <c r="J3236" s="5" t="n">
        <v>265.5</v>
      </c>
      <c r="K3236" s="3" t="inlineStr">
        <is>
          <t>급매 D2 남북트인위치 남향 건축가능</t>
        </is>
      </c>
      <c r="L3236" s="6">
        <f>HYPERLINK("https://fin.land.naver.com/articles/2655021935", "매물Link")</f>
        <v/>
      </c>
      <c r="M3236" s="6">
        <f>HYPERLINK("https://map.naver.com/p/search/집현동 1310", "지도Link")</f>
        <v/>
      </c>
      <c r="N3236" s="6">
        <f>HYPERLINK("http://www.eum.go.kr/web/ar/lu/luLandDet.jsp?pnu=3611011800113100000&amp;isNoScr=script&amp;mode=search", "토지이음")</f>
        <v/>
      </c>
      <c r="O3236" s="3" t="inlineStr">
        <is>
          <t>세종스타</t>
        </is>
      </c>
      <c r="P3236" s="4" t="n">
        <v>2</v>
      </c>
      <c r="Q3236" s="4" t="n">
        <v>279.8</v>
      </c>
      <c r="R3236" s="3" t="inlineStr">
        <is>
          <t>지정되지않음</t>
        </is>
      </c>
      <c r="S3236" s="3" t="inlineStr">
        <is>
          <t>주거나지</t>
        </is>
      </c>
      <c r="T3236" s="3" t="inlineStr">
        <is>
          <t>평지</t>
        </is>
      </c>
      <c r="U3236" s="3" t="inlineStr">
        <is>
          <t>세로장방</t>
        </is>
      </c>
      <c r="V3236" s="3" t="inlineStr">
        <is>
          <t>소로한면</t>
        </is>
      </c>
    </row>
    <row r="3237">
      <c r="A3237" s="3" t="inlineStr">
        <is>
          <t>집현동 1312</t>
        </is>
      </c>
      <c r="B3237" s="3" t="inlineStr">
        <is>
          <t>제1종전용주거지역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50000</v>
      </c>
      <c r="G3237" s="4" t="n">
        <v>284</v>
      </c>
      <c r="H3237" s="4" t="n">
        <v>86</v>
      </c>
      <c r="I3237" s="5" t="n">
        <v>581.4</v>
      </c>
      <c r="J3237" s="5" t="n">
        <v>265.5</v>
      </c>
      <c r="K3237" s="3" t="inlineStr">
        <is>
          <t>I 신한 I 집현동 괴화산 삼성천 인접한 남향 택지, 자연친화적 입</t>
        </is>
      </c>
      <c r="L3237" s="6">
        <f>HYPERLINK("https://fin.land.naver.com/articles/2656607760", "매물Link")</f>
        <v/>
      </c>
      <c r="M3237" s="6">
        <f>HYPERLINK("https://map.naver.com/p/search/집현동 1312", "지도Link")</f>
        <v/>
      </c>
      <c r="N3237" s="6">
        <f>HYPERLINK("http://www.eum.go.kr/web/ar/lu/luLandDet.jsp?pnu=3611011800113120000&amp;isNoScr=script&amp;mode=search", "토지이음")</f>
        <v/>
      </c>
      <c r="O3237" s="3" t="inlineStr">
        <is>
          <t>세종신한</t>
        </is>
      </c>
      <c r="P3237" s="4" t="n">
        <v>1</v>
      </c>
      <c r="Q3237" s="4" t="n">
        <v>284.8</v>
      </c>
      <c r="R3237" s="3" t="inlineStr">
        <is>
          <t>지정되지않음</t>
        </is>
      </c>
      <c r="S3237" s="3" t="inlineStr">
        <is>
          <t>주거나지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집현동 1313</t>
        </is>
      </c>
      <c r="B3238" s="3" t="inlineStr">
        <is>
          <t>제1종전용주거지역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52000</v>
      </c>
      <c r="G3238" s="4" t="n">
        <v>284</v>
      </c>
      <c r="H3238" s="4" t="n">
        <v>86</v>
      </c>
      <c r="I3238" s="5" t="n">
        <v>604.7</v>
      </c>
      <c r="J3238" s="5" t="n">
        <v>265.5</v>
      </c>
      <c r="K3238" s="3" t="inlineStr">
        <is>
          <t>앞,뒤 양면도로 접한 남향필지</t>
        </is>
      </c>
      <c r="L3238" s="6">
        <f>HYPERLINK("https://fin.land.naver.com/articles/2656274156", "매물Link")</f>
        <v/>
      </c>
      <c r="M3238" s="6">
        <f>HYPERLINK("https://map.naver.com/p/search/집현동 1313", "지도Link")</f>
        <v/>
      </c>
      <c r="N3238" s="6">
        <f>HYPERLINK("http://www.eum.go.kr/web/ar/lu/luLandDet.jsp?pnu=3611011800113130000&amp;isNoScr=script&amp;mode=search", "토지이음")</f>
        <v/>
      </c>
      <c r="O3238" s="3" t="inlineStr">
        <is>
          <t>킹세종</t>
        </is>
      </c>
      <c r="P3238" s="4" t="n">
        <v>2</v>
      </c>
      <c r="Q3238" s="4" t="n">
        <v>284.8</v>
      </c>
      <c r="R3238" s="3" t="inlineStr">
        <is>
          <t>지정되지않음</t>
        </is>
      </c>
      <c r="S3238" s="3" t="inlineStr">
        <is>
          <t>주거나지</t>
        </is>
      </c>
      <c r="T3238" s="3" t="inlineStr">
        <is>
          <t>평지</t>
        </is>
      </c>
      <c r="U3238" s="3" t="inlineStr">
        <is>
          <t>세로장방</t>
        </is>
      </c>
      <c r="V3238" s="3" t="inlineStr">
        <is>
          <t>소로한면</t>
        </is>
      </c>
    </row>
    <row r="3239">
      <c r="A3239" s="3" t="inlineStr">
        <is>
          <t>집현동 1325</t>
        </is>
      </c>
      <c r="B3239" s="3" t="inlineStr">
        <is>
          <t>제1종전용주거지역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45000</v>
      </c>
      <c r="G3239" s="4" t="n">
        <v>305</v>
      </c>
      <c r="H3239" s="4" t="n">
        <v>92</v>
      </c>
      <c r="I3239" s="5" t="n">
        <v>489.1</v>
      </c>
      <c r="J3239" s="5" t="n">
        <v>265.5</v>
      </c>
      <c r="K3239" s="3" t="inlineStr">
        <is>
          <t>nan</t>
        </is>
      </c>
      <c r="L3239" s="6">
        <f>HYPERLINK("https://fin.land.naver.com/articles/2651658100", "매물Link")</f>
        <v/>
      </c>
      <c r="M3239" s="6">
        <f>HYPERLINK("https://map.naver.com/p/search/집현동 1325", "지도Link")</f>
        <v/>
      </c>
      <c r="N3239" s="6">
        <f>HYPERLINK("http://www.eum.go.kr/web/ar/lu/luLandDet.jsp?pnu=3611011800113250000&amp;isNoScr=script&amp;mode=search", "토지이음")</f>
        <v/>
      </c>
      <c r="O3239" s="3" t="inlineStr">
        <is>
          <t>열린자이</t>
        </is>
      </c>
      <c r="P3239" s="4" t="n">
        <v>1</v>
      </c>
      <c r="Q3239" s="4" t="n">
        <v>304.8</v>
      </c>
      <c r="R3239" s="3" t="inlineStr">
        <is>
          <t>지정되지않음</t>
        </is>
      </c>
      <c r="S3239" s="3" t="inlineStr">
        <is>
          <t>주거나지</t>
        </is>
      </c>
      <c r="T3239" s="3" t="inlineStr">
        <is>
          <t>평지</t>
        </is>
      </c>
      <c r="U3239" s="3" t="inlineStr">
        <is>
          <t>세로장방</t>
        </is>
      </c>
      <c r="V3239" s="3" t="inlineStr">
        <is>
          <t>소로한면</t>
        </is>
      </c>
    </row>
    <row r="3240">
      <c r="A3240" s="3" t="inlineStr">
        <is>
          <t>집현동 1334</t>
        </is>
      </c>
      <c r="B3240" s="3" t="inlineStr">
        <is>
          <t>제1종전용주거지역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50000</v>
      </c>
      <c r="G3240" s="4" t="n">
        <v>309</v>
      </c>
      <c r="H3240" s="4" t="n">
        <v>93</v>
      </c>
      <c r="I3240" s="5" t="n">
        <v>537.6</v>
      </c>
      <c r="J3240" s="5" t="n">
        <v>265.5</v>
      </c>
      <c r="K3240" s="3" t="inlineStr">
        <is>
          <t>공원앞 위치좋은단독택지매매 가격조정가능</t>
        </is>
      </c>
      <c r="L3240" s="6">
        <f>HYPERLINK("https://fin.land.naver.com/articles/2653688105", "매물Link")</f>
        <v/>
      </c>
      <c r="M3240" s="6">
        <f>HYPERLINK("https://map.naver.com/p/search/집현동 1334", "지도Link")</f>
        <v/>
      </c>
      <c r="N3240" s="6">
        <f>HYPERLINK("http://www.eum.go.kr/web/ar/lu/luLandDet.jsp?pnu=3611011800113340000&amp;isNoScr=script&amp;mode=search", "토지이음")</f>
        <v/>
      </c>
      <c r="O3240" s="3" t="inlineStr">
        <is>
          <t>고운동리치세종</t>
        </is>
      </c>
      <c r="P3240" s="4" t="n">
        <v>1</v>
      </c>
      <c r="Q3240" s="4" t="n">
        <v>309.8</v>
      </c>
      <c r="R3240" s="3" t="inlineStr">
        <is>
          <t>지정되지않음</t>
        </is>
      </c>
      <c r="S3240" s="3" t="inlineStr">
        <is>
          <t>주거나지</t>
        </is>
      </c>
      <c r="T3240" s="3" t="inlineStr">
        <is>
          <t>평지</t>
        </is>
      </c>
      <c r="U3240" s="3" t="inlineStr">
        <is>
          <t>세로장방</t>
        </is>
      </c>
      <c r="V3240" s="3" t="inlineStr">
        <is>
          <t>소로한면</t>
        </is>
      </c>
    </row>
    <row r="3241">
      <c r="A3241" s="3" t="inlineStr">
        <is>
          <t>집현동 1337</t>
        </is>
      </c>
      <c r="B3241" s="3" t="inlineStr">
        <is>
          <t>제1종전용주거지역</t>
        </is>
      </c>
      <c r="C3241" s="3" t="inlineStr">
        <is>
          <t>대</t>
        </is>
      </c>
      <c r="D3241" s="3" t="inlineStr">
        <is>
          <t>대</t>
        </is>
      </c>
      <c r="E3241" s="3" t="inlineStr">
        <is>
          <t>매매</t>
        </is>
      </c>
      <c r="F3241" s="4" t="n">
        <v>55000</v>
      </c>
      <c r="G3241" s="4" t="n">
        <v>357</v>
      </c>
      <c r="H3241" s="4" t="n">
        <v>108</v>
      </c>
      <c r="I3241" s="5" t="n">
        <v>509.3</v>
      </c>
      <c r="J3241" s="5" t="n">
        <v>276</v>
      </c>
      <c r="K3241" s="3" t="inlineStr">
        <is>
          <t>코너자리로 위치좋은 단독택지 가격조정가능</t>
        </is>
      </c>
      <c r="L3241" s="6">
        <f>HYPERLINK("https://fin.land.naver.com/articles/2654718143", "매물Link")</f>
        <v/>
      </c>
      <c r="M3241" s="6">
        <f>HYPERLINK("https://map.naver.com/p/search/집현동 1337", "지도Link")</f>
        <v/>
      </c>
      <c r="N3241" s="6">
        <f>HYPERLINK("http://www.eum.go.kr/web/ar/lu/luLandDet.jsp?pnu=3611011800113370000&amp;isNoScr=script&amp;mode=search", "토지이음")</f>
        <v/>
      </c>
      <c r="O3241" s="3" t="inlineStr">
        <is>
          <t>고운동리치세종</t>
        </is>
      </c>
      <c r="P3241" s="4" t="n">
        <v>1</v>
      </c>
      <c r="Q3241" s="4" t="n">
        <v>357.7</v>
      </c>
      <c r="R3241" s="3" t="inlineStr">
        <is>
          <t>지정되지않음</t>
        </is>
      </c>
      <c r="S3241" s="3" t="inlineStr">
        <is>
          <t>주거나지</t>
        </is>
      </c>
      <c r="T3241" s="3" t="inlineStr">
        <is>
          <t>평지</t>
        </is>
      </c>
      <c r="U3241" s="3" t="inlineStr">
        <is>
          <t>가로장방</t>
        </is>
      </c>
      <c r="V3241" s="3" t="inlineStr">
        <is>
          <t>소로각지</t>
        </is>
      </c>
    </row>
    <row r="3242">
      <c r="A3242" s="3" t="inlineStr">
        <is>
          <t>집현동 1343</t>
        </is>
      </c>
      <c r="B3242" s="3" t="inlineStr">
        <is>
          <t>제1종전용주거지역</t>
        </is>
      </c>
      <c r="C3242" s="3" t="inlineStr">
        <is>
          <t>대</t>
        </is>
      </c>
      <c r="D3242" s="3" t="inlineStr">
        <is>
          <t>대</t>
        </is>
      </c>
      <c r="E3242" s="3" t="inlineStr">
        <is>
          <t>매매</t>
        </is>
      </c>
      <c r="F3242" s="4" t="n">
        <v>60000</v>
      </c>
      <c r="G3242" s="4" t="n">
        <v>390</v>
      </c>
      <c r="H3242" s="4" t="n">
        <v>118</v>
      </c>
      <c r="I3242" s="5" t="n">
        <v>508.5</v>
      </c>
      <c r="J3242" s="5" t="n">
        <v>278.9</v>
      </c>
      <c r="K3242" s="3" t="inlineStr">
        <is>
          <t>탁트인 공원조망 위치최상 왼쪽시유지접 지대높음</t>
        </is>
      </c>
      <c r="L3242" s="6">
        <f>HYPERLINK("https://fin.land.naver.com/articles/2656213612", "매물Link")</f>
        <v/>
      </c>
      <c r="M3242" s="6">
        <f>HYPERLINK("https://map.naver.com/p/search/집현동 1343", "지도Link")</f>
        <v/>
      </c>
      <c r="N3242" s="6">
        <f>HYPERLINK("http://www.eum.go.kr/web/ar/lu/luLandDet.jsp?pnu=3611011800113430000&amp;isNoScr=script&amp;mode=search", "토지이음")</f>
        <v/>
      </c>
      <c r="O3242" s="3" t="inlineStr">
        <is>
          <t>세종스타</t>
        </is>
      </c>
      <c r="P3242" s="4" t="n">
        <v>1</v>
      </c>
      <c r="Q3242" s="4" t="n">
        <v>390</v>
      </c>
      <c r="R3242" s="3" t="inlineStr">
        <is>
          <t>지정되지않음</t>
        </is>
      </c>
      <c r="S3242" s="3" t="inlineStr">
        <is>
          <t>주거나지</t>
        </is>
      </c>
      <c r="T3242" s="3" t="inlineStr">
        <is>
          <t>평지</t>
        </is>
      </c>
      <c r="U3242" s="3" t="inlineStr">
        <is>
          <t>가로장방</t>
        </is>
      </c>
      <c r="V3242" s="3" t="inlineStr">
        <is>
          <t>소로각지</t>
        </is>
      </c>
    </row>
    <row r="3243">
      <c r="A3243" s="3" t="inlineStr">
        <is>
          <t>집현동 1348</t>
        </is>
      </c>
      <c r="B3243" s="3" t="inlineStr">
        <is>
          <t>제1종전용주거지역</t>
        </is>
      </c>
      <c r="C3243" s="3" t="inlineStr">
        <is>
          <t>대</t>
        </is>
      </c>
      <c r="D3243" s="3" t="inlineStr">
        <is>
          <t>대</t>
        </is>
      </c>
      <c r="E3243" s="3" t="inlineStr">
        <is>
          <t>매매</t>
        </is>
      </c>
      <c r="F3243" s="4" t="n">
        <v>55000</v>
      </c>
      <c r="G3243" s="4" t="n">
        <v>414</v>
      </c>
      <c r="H3243" s="4" t="n">
        <v>125</v>
      </c>
      <c r="I3243" s="5" t="n">
        <v>440</v>
      </c>
      <c r="J3243" s="5" t="n">
        <v>278.9</v>
      </c>
      <c r="K3243" s="3" t="inlineStr">
        <is>
          <t>코너 넓은평수 시유지접 조율가능</t>
        </is>
      </c>
      <c r="L3243" s="6">
        <f>HYPERLINK("https://fin.land.naver.com/articles/2656214866", "매물Link")</f>
        <v/>
      </c>
      <c r="M3243" s="6">
        <f>HYPERLINK("https://map.naver.com/p/search/집현동 1348", "지도Link")</f>
        <v/>
      </c>
      <c r="N3243" s="6">
        <f>HYPERLINK("http://www.eum.go.kr/web/ar/lu/luLandDet.jsp?pnu=3611011800113480000&amp;isNoScr=script&amp;mode=search", "토지이음")</f>
        <v/>
      </c>
      <c r="O3243" s="3" t="inlineStr">
        <is>
          <t>세종스타</t>
        </is>
      </c>
      <c r="P3243" s="4" t="n">
        <v>2</v>
      </c>
      <c r="Q3243" s="4" t="n">
        <v>414</v>
      </c>
      <c r="R3243" s="3" t="inlineStr">
        <is>
          <t>지정되지않음</t>
        </is>
      </c>
      <c r="S3243" s="3" t="inlineStr">
        <is>
          <t>주거나지</t>
        </is>
      </c>
      <c r="T3243" s="3" t="inlineStr">
        <is>
          <t>평지</t>
        </is>
      </c>
      <c r="U3243" s="3" t="inlineStr">
        <is>
          <t>가로장방</t>
        </is>
      </c>
      <c r="V3243" s="3" t="inlineStr">
        <is>
          <t>소로각지</t>
        </is>
      </c>
    </row>
    <row r="3244">
      <c r="A3244" s="3" t="inlineStr">
        <is>
          <t>한솔동 1000</t>
        </is>
      </c>
      <c r="B3244" s="3" t="inlineStr">
        <is>
          <t>제1종전용주거지역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41500</v>
      </c>
      <c r="G3244" s="4" t="n">
        <v>277</v>
      </c>
      <c r="H3244" s="4" t="n">
        <v>84</v>
      </c>
      <c r="I3244" s="5" t="n">
        <v>494</v>
      </c>
      <c r="J3244" s="5" t="n">
        <v>314.9</v>
      </c>
      <c r="K3244" s="3" t="inlineStr">
        <is>
          <t>급매, 84.1p, 삼거리 코너, 상가와 공원 인근</t>
        </is>
      </c>
      <c r="L3244" s="6">
        <f>HYPERLINK("https://fin.land.naver.com/articles/2654218385", "매물Link")</f>
        <v/>
      </c>
      <c r="M3244" s="6">
        <f>HYPERLINK("https://map.naver.com/p/search/한솔동 1000", "지도Link")</f>
        <v/>
      </c>
      <c r="N3244" s="6">
        <f>HYPERLINK("http://www.eum.go.kr/web/ar/lu/luLandDet.jsp?pnu=3611010600110000000&amp;isNoScr=script&amp;mode=search", "토지이음")</f>
        <v/>
      </c>
      <c r="O3244" s="3" t="inlineStr">
        <is>
          <t>명진</t>
        </is>
      </c>
      <c r="P3244" s="4" t="n">
        <v>1</v>
      </c>
      <c r="Q3244" s="4" t="n">
        <v>277.5</v>
      </c>
      <c r="R3244" s="3" t="inlineStr">
        <is>
          <t>지정되지않음</t>
        </is>
      </c>
      <c r="S3244" s="3" t="inlineStr">
        <is>
          <t>주거나지</t>
        </is>
      </c>
      <c r="T3244" s="3" t="inlineStr">
        <is>
          <t>평지</t>
        </is>
      </c>
      <c r="U3244" s="3" t="inlineStr">
        <is>
          <t>정방형</t>
        </is>
      </c>
      <c r="V3244" s="3" t="inlineStr">
        <is>
          <t>소로각지</t>
        </is>
      </c>
    </row>
    <row r="3245">
      <c r="A3245" s="3" t="inlineStr">
        <is>
          <t>한솔동 1000</t>
        </is>
      </c>
      <c r="B3245" s="3" t="inlineStr">
        <is>
          <t>제1종전용주거지역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40500</v>
      </c>
      <c r="G3245" s="4" t="n">
        <v>277</v>
      </c>
      <c r="H3245" s="4" t="n">
        <v>84</v>
      </c>
      <c r="I3245" s="5" t="n">
        <v>482.1</v>
      </c>
      <c r="J3245" s="5" t="n">
        <v>314.9</v>
      </c>
      <c r="K3245" s="3" t="inlineStr">
        <is>
          <t>채광좋음 상권가깝고 뒤로 보행로접함</t>
        </is>
      </c>
      <c r="L3245" s="6">
        <f>HYPERLINK("https://fin.land.naver.com/articles/2655187154", "매물Link")</f>
        <v/>
      </c>
      <c r="M3245" s="6">
        <f>HYPERLINK("https://map.naver.com/p/search/한솔동 1000", "지도Link")</f>
        <v/>
      </c>
      <c r="N3245" s="6">
        <f>HYPERLINK("http://www.eum.go.kr/web/ar/lu/luLandDet.jsp?pnu=3611010600110000000&amp;isNoScr=script&amp;mode=search", "토지이음")</f>
        <v/>
      </c>
      <c r="O3245" s="3" t="inlineStr">
        <is>
          <t>세종스타</t>
        </is>
      </c>
      <c r="P3245" s="4" t="n">
        <v>1</v>
      </c>
      <c r="Q3245" s="4" t="n">
        <v>277.5</v>
      </c>
      <c r="R3245" s="3" t="inlineStr">
        <is>
          <t>지정되지않음</t>
        </is>
      </c>
      <c r="S3245" s="3" t="inlineStr">
        <is>
          <t>주거나지</t>
        </is>
      </c>
      <c r="T3245" s="3" t="inlineStr">
        <is>
          <t>평지</t>
        </is>
      </c>
      <c r="U3245" s="3" t="inlineStr">
        <is>
          <t>정방형</t>
        </is>
      </c>
      <c r="V3245" s="3" t="inlineStr">
        <is>
          <t>소로각지</t>
        </is>
      </c>
    </row>
    <row r="3246">
      <c r="A3246" s="3" t="inlineStr">
        <is>
          <t>한솔동 1000</t>
        </is>
      </c>
      <c r="B3246" s="3" t="inlineStr">
        <is>
          <t>제1종전용주거지역</t>
        </is>
      </c>
      <c r="C3246" s="3" t="inlineStr">
        <is>
          <t>대</t>
        </is>
      </c>
      <c r="D3246" s="3" t="inlineStr">
        <is>
          <t>대</t>
        </is>
      </c>
      <c r="E3246" s="3" t="inlineStr">
        <is>
          <t>매매</t>
        </is>
      </c>
      <c r="F3246" s="4" t="n">
        <v>41500</v>
      </c>
      <c r="G3246" s="4" t="n">
        <v>275</v>
      </c>
      <c r="H3246" s="4" t="n">
        <v>83</v>
      </c>
      <c r="I3246" s="5" t="n">
        <v>500</v>
      </c>
      <c r="J3246" s="5" t="n">
        <v>314.9</v>
      </c>
      <c r="K3246" s="3" t="inlineStr">
        <is>
          <t>급매, 총 84.1p, 삼거리 코너 토지</t>
        </is>
      </c>
      <c r="L3246" s="6">
        <f>HYPERLINK("https://fin.land.naver.com/articles/2652841509", "매물Link")</f>
        <v/>
      </c>
      <c r="M3246" s="6">
        <f>HYPERLINK("https://map.naver.com/p/search/한솔동 1000", "지도Link")</f>
        <v/>
      </c>
      <c r="N3246" s="6">
        <f>HYPERLINK("http://www.eum.go.kr/web/ar/lu/luLandDet.jsp?pnu=3611010600110000000&amp;isNoScr=script&amp;mode=search", "토지이음")</f>
        <v/>
      </c>
      <c r="O3246" s="3" t="inlineStr">
        <is>
          <t>세종무지개</t>
        </is>
      </c>
      <c r="P3246" s="4" t="n">
        <v>1</v>
      </c>
      <c r="Q3246" s="4" t="n">
        <v>277.5</v>
      </c>
      <c r="R3246" s="3" t="inlineStr">
        <is>
          <t>지정되지않음</t>
        </is>
      </c>
      <c r="S3246" s="3" t="inlineStr">
        <is>
          <t>주거나지</t>
        </is>
      </c>
      <c r="T3246" s="3" t="inlineStr">
        <is>
          <t>평지</t>
        </is>
      </c>
      <c r="U3246" s="3" t="inlineStr">
        <is>
          <t>정방형</t>
        </is>
      </c>
      <c r="V3246" s="3" t="inlineStr">
        <is>
          <t>소로각지</t>
        </is>
      </c>
    </row>
    <row r="3247">
      <c r="A3247" s="3" t="inlineStr">
        <is>
          <t>한솔동 1003</t>
        </is>
      </c>
      <c r="B3247" s="3" t="inlineStr">
        <is>
          <t>제1종전용주거지역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52000</v>
      </c>
      <c r="G3247" s="4" t="n">
        <v>277</v>
      </c>
      <c r="H3247" s="4" t="n">
        <v>84</v>
      </c>
      <c r="I3247" s="5" t="n">
        <v>619</v>
      </c>
      <c r="J3247" s="5" t="n">
        <v>314.9</v>
      </c>
      <c r="K3247" s="3" t="inlineStr">
        <is>
          <t>가치있는  즉시 신축 가능 추천  단독주택 도심속전원 시내 시외 진출입</t>
        </is>
      </c>
      <c r="L3247" s="6">
        <f>HYPERLINK("https://fin.land.naver.com/articles/2651707666", "매물Link")</f>
        <v/>
      </c>
      <c r="M3247" s="6">
        <f>HYPERLINK("https://map.naver.com/p/search/한솔동 1003", "지도Link")</f>
        <v/>
      </c>
      <c r="N3247" s="6">
        <f>HYPERLINK("http://www.eum.go.kr/web/ar/lu/luLandDet.jsp?pnu=3611010600110030000&amp;isNoScr=script&amp;mode=search", "토지이음")</f>
        <v/>
      </c>
      <c r="O3247" s="3" t="inlineStr">
        <is>
          <t>세종시삼성래미안</t>
        </is>
      </c>
      <c r="P3247" s="4" t="n">
        <v>1</v>
      </c>
      <c r="Q3247" s="4" t="n">
        <v>277.8</v>
      </c>
      <c r="R3247" s="3" t="inlineStr">
        <is>
          <t>지정되지않음</t>
        </is>
      </c>
      <c r="S3247" s="3" t="inlineStr">
        <is>
          <t>주거나지</t>
        </is>
      </c>
      <c r="T3247" s="3" t="inlineStr">
        <is>
          <t>평지</t>
        </is>
      </c>
      <c r="U3247" s="3" t="inlineStr">
        <is>
          <t>정방형</t>
        </is>
      </c>
      <c r="V3247" s="3" t="inlineStr">
        <is>
          <t>소로각지</t>
        </is>
      </c>
    </row>
    <row r="3248">
      <c r="A3248" s="3" t="inlineStr">
        <is>
          <t>한솔동 1005</t>
        </is>
      </c>
      <c r="B3248" s="3" t="inlineStr">
        <is>
          <t>제1종전용주거지역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50000</v>
      </c>
      <c r="G3248" s="4" t="n">
        <v>277</v>
      </c>
      <c r="H3248" s="4" t="n">
        <v>84</v>
      </c>
      <c r="I3248" s="5" t="n">
        <v>595.2</v>
      </c>
      <c r="J3248" s="5" t="n">
        <v>314.9</v>
      </c>
      <c r="K3248" s="3" t="inlineStr">
        <is>
          <t>급매 채광최상 남서향막힘없음 초중고5분내</t>
        </is>
      </c>
      <c r="L3248" s="6">
        <f>HYPERLINK("https://fin.land.naver.com/articles/2652441626", "매물Link")</f>
        <v/>
      </c>
      <c r="M3248" s="6">
        <f>HYPERLINK("https://map.naver.com/p/search/한솔동 1005", "지도Link")</f>
        <v/>
      </c>
      <c r="N3248" s="6">
        <f>HYPERLINK("http://www.eum.go.kr/web/ar/lu/luLandDet.jsp?pnu=3611010600110050000&amp;isNoScr=script&amp;mode=search", "토지이음")</f>
        <v/>
      </c>
      <c r="O3248" s="3" t="inlineStr">
        <is>
          <t>세종스타</t>
        </is>
      </c>
      <c r="P3248" s="4" t="n">
        <v>1</v>
      </c>
      <c r="Q3248" s="4" t="n">
        <v>276.7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평지</t>
        </is>
      </c>
      <c r="U3248" s="3" t="inlineStr">
        <is>
          <t>세로장방</t>
        </is>
      </c>
      <c r="V3248" s="3" t="inlineStr">
        <is>
          <t>소로각지</t>
        </is>
      </c>
    </row>
    <row r="3249">
      <c r="A3249" s="3" t="inlineStr">
        <is>
          <t>한솔동 1006</t>
        </is>
      </c>
      <c r="B3249" s="3" t="inlineStr">
        <is>
          <t>제1종전용주거지역</t>
        </is>
      </c>
      <c r="C3249" s="3" t="inlineStr">
        <is>
          <t>대</t>
        </is>
      </c>
      <c r="D3249" s="3" t="inlineStr">
        <is>
          <t>대</t>
        </is>
      </c>
      <c r="E3249" s="3" t="inlineStr">
        <is>
          <t>매매</t>
        </is>
      </c>
      <c r="F3249" s="4" t="n">
        <v>62000</v>
      </c>
      <c r="G3249" s="4" t="n">
        <v>394</v>
      </c>
      <c r="H3249" s="4" t="n">
        <v>119</v>
      </c>
      <c r="I3249" s="5" t="n">
        <v>521</v>
      </c>
      <c r="J3249" s="5" t="n">
        <v>314.9</v>
      </c>
      <c r="K3249" s="3" t="inlineStr">
        <is>
          <t>대형 평수 I 풍부한 생활 인프라와 쾌적성을 모두 갖춘 프리미엄 택지</t>
        </is>
      </c>
      <c r="L3249" s="6">
        <f>HYPERLINK("https://fin.land.naver.com/articles/2655916171", "매물Link")</f>
        <v/>
      </c>
      <c r="M3249" s="6">
        <f>HYPERLINK("https://map.naver.com/p/search/한솔동 1006", "지도Link")</f>
        <v/>
      </c>
      <c r="N3249" s="6">
        <f>HYPERLINK("http://www.eum.go.kr/web/ar/lu/luLandDet.jsp?pnu=3611010600110060000&amp;isNoScr=script&amp;mode=search", "토지이음")</f>
        <v/>
      </c>
      <c r="O3249" s="3" t="inlineStr">
        <is>
          <t>세종신한</t>
        </is>
      </c>
      <c r="P3249" s="4" t="n">
        <v>2</v>
      </c>
      <c r="Q3249" s="4" t="n">
        <v>394.9</v>
      </c>
      <c r="R3249" s="3" t="inlineStr">
        <is>
          <t>지정되지않음</t>
        </is>
      </c>
      <c r="S3249" s="3" t="inlineStr">
        <is>
          <t>주거나지</t>
        </is>
      </c>
      <c r="T3249" s="3" t="inlineStr">
        <is>
          <t>평지</t>
        </is>
      </c>
      <c r="U3249" s="3" t="inlineStr">
        <is>
          <t>정방형</t>
        </is>
      </c>
      <c r="V3249" s="3" t="inlineStr">
        <is>
          <t>소로각지</t>
        </is>
      </c>
    </row>
    <row r="3250">
      <c r="A3250" s="3" t="inlineStr">
        <is>
          <t>한솔동 1006</t>
        </is>
      </c>
      <c r="B3250" s="3" t="inlineStr">
        <is>
          <t>제1종전용주거지역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62000</v>
      </c>
      <c r="G3250" s="4" t="n">
        <v>394</v>
      </c>
      <c r="H3250" s="4" t="n">
        <v>119</v>
      </c>
      <c r="I3250" s="5" t="n">
        <v>521</v>
      </c>
      <c r="J3250" s="5" t="n">
        <v>314.9</v>
      </c>
      <c r="K3250" s="3" t="inlineStr">
        <is>
          <t>단독주택 토지, 학군인접</t>
        </is>
      </c>
      <c r="L3250" s="6">
        <f>HYPERLINK("https://fin.land.naver.com/articles/2652841375", "매물Link")</f>
        <v/>
      </c>
      <c r="M3250" s="6">
        <f>HYPERLINK("https://map.naver.com/p/search/한솔동 1006", "지도Link")</f>
        <v/>
      </c>
      <c r="N3250" s="6">
        <f>HYPERLINK("http://www.eum.go.kr/web/ar/lu/luLandDet.jsp?pnu=3611010600110060000&amp;isNoScr=script&amp;mode=search", "토지이음")</f>
        <v/>
      </c>
      <c r="O3250" s="3" t="inlineStr">
        <is>
          <t>세종무지개</t>
        </is>
      </c>
      <c r="P3250" s="4" t="n">
        <v>1</v>
      </c>
      <c r="Q3250" s="4" t="n">
        <v>394.9</v>
      </c>
      <c r="R3250" s="3" t="inlineStr">
        <is>
          <t>지정되지않음</t>
        </is>
      </c>
      <c r="S3250" s="3" t="inlineStr">
        <is>
          <t>주거나지</t>
        </is>
      </c>
      <c r="T3250" s="3" t="inlineStr">
        <is>
          <t>평지</t>
        </is>
      </c>
      <c r="U3250" s="3" t="inlineStr">
        <is>
          <t>정방형</t>
        </is>
      </c>
      <c r="V3250" s="3" t="inlineStr">
        <is>
          <t>소로각지</t>
        </is>
      </c>
    </row>
    <row r="3251">
      <c r="A3251" s="3" t="inlineStr">
        <is>
          <t>한솔동 1006</t>
        </is>
      </c>
      <c r="B3251" s="3" t="inlineStr">
        <is>
          <t>제1종전용주거지역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62000</v>
      </c>
      <c r="G3251" s="4" t="n">
        <v>394</v>
      </c>
      <c r="H3251" s="4" t="n">
        <v>119</v>
      </c>
      <c r="I3251" s="5" t="n">
        <v>521</v>
      </c>
      <c r="J3251" s="5" t="n">
        <v>314.9</v>
      </c>
      <c r="K3251" s="3" t="inlineStr">
        <is>
          <t>총 119.7p, 대형면적 단독주택토지, 한솔초.중.고 인접</t>
        </is>
      </c>
      <c r="L3251" s="6">
        <f>HYPERLINK("https://fin.land.naver.com/articles/2654225978", "매물Link")</f>
        <v/>
      </c>
      <c r="M3251" s="6">
        <f>HYPERLINK("https://map.naver.com/p/search/한솔동 1006", "지도Link")</f>
        <v/>
      </c>
      <c r="N3251" s="6">
        <f>HYPERLINK("http://www.eum.go.kr/web/ar/lu/luLandDet.jsp?pnu=3611010600110060000&amp;isNoScr=script&amp;mode=search", "토지이음")</f>
        <v/>
      </c>
      <c r="O3251" s="3" t="inlineStr">
        <is>
          <t>명진</t>
        </is>
      </c>
      <c r="P3251" s="4" t="n">
        <v>1</v>
      </c>
      <c r="Q3251" s="4" t="n">
        <v>394.9</v>
      </c>
      <c r="R3251" s="3" t="inlineStr">
        <is>
          <t>지정되지않음</t>
        </is>
      </c>
      <c r="S3251" s="3" t="inlineStr">
        <is>
          <t>주거나지</t>
        </is>
      </c>
      <c r="T3251" s="3" t="inlineStr">
        <is>
          <t>평지</t>
        </is>
      </c>
      <c r="U3251" s="3" t="inlineStr">
        <is>
          <t>정방형</t>
        </is>
      </c>
      <c r="V3251" s="3" t="inlineStr">
        <is>
          <t>소로각지</t>
        </is>
      </c>
    </row>
    <row r="3252">
      <c r="A3252" s="3" t="inlineStr">
        <is>
          <t>한솔동 1007</t>
        </is>
      </c>
      <c r="B3252" s="3" t="inlineStr">
        <is>
          <t>제1종전용주거지역</t>
        </is>
      </c>
      <c r="C3252" s="3" t="inlineStr">
        <is>
          <t>대</t>
        </is>
      </c>
      <c r="D3252" s="3" t="inlineStr">
        <is>
          <t>대</t>
        </is>
      </c>
      <c r="E3252" s="3" t="inlineStr">
        <is>
          <t>매매</t>
        </is>
      </c>
      <c r="F3252" s="4" t="n">
        <v>62000</v>
      </c>
      <c r="G3252" s="4" t="n">
        <v>395</v>
      </c>
      <c r="H3252" s="4" t="n">
        <v>119</v>
      </c>
      <c r="I3252" s="5" t="n">
        <v>521</v>
      </c>
      <c r="J3252" s="5" t="n">
        <v>302.8</v>
      </c>
      <c r="K3252" s="3" t="inlineStr">
        <is>
          <t>조정가능 한솔초중고 이마트 코스트코 인근 단독 주택지</t>
        </is>
      </c>
      <c r="L3252" s="6">
        <f>HYPERLINK("https://fin.land.naver.com/articles/2655546678", "매물Link")</f>
        <v/>
      </c>
      <c r="M3252" s="6">
        <f>HYPERLINK("https://map.naver.com/p/search/한솔동 1007", "지도Link")</f>
        <v/>
      </c>
      <c r="N3252" s="6">
        <f>HYPERLINK("http://www.eum.go.kr/web/ar/lu/luLandDet.jsp?pnu=3611010600110070000&amp;isNoScr=script&amp;mode=search", "토지이음")</f>
        <v/>
      </c>
      <c r="O3252" s="3" t="inlineStr">
        <is>
          <t>그래그</t>
        </is>
      </c>
      <c r="P3252" s="4" t="n">
        <v>1</v>
      </c>
      <c r="Q3252" s="4" t="n">
        <v>395</v>
      </c>
      <c r="R3252" s="3" t="inlineStr">
        <is>
          <t>지정되지않음</t>
        </is>
      </c>
      <c r="S3252" s="3" t="inlineStr">
        <is>
          <t>주거나지</t>
        </is>
      </c>
      <c r="T3252" s="3" t="inlineStr">
        <is>
          <t>평지</t>
        </is>
      </c>
      <c r="U3252" s="3" t="inlineStr">
        <is>
          <t>세로장방</t>
        </is>
      </c>
      <c r="V3252" s="3" t="inlineStr">
        <is>
          <t>소로한면</t>
        </is>
      </c>
    </row>
    <row r="3253">
      <c r="A3253" s="3" t="inlineStr">
        <is>
          <t>한솔동 1010</t>
        </is>
      </c>
      <c r="B3253" s="3" t="inlineStr">
        <is>
          <t>제1종전용주거지역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50000</v>
      </c>
      <c r="G3253" s="4" t="n">
        <v>317</v>
      </c>
      <c r="H3253" s="4" t="n">
        <v>96</v>
      </c>
      <c r="I3253" s="5" t="n">
        <v>520.8</v>
      </c>
      <c r="J3253" s="5" t="n">
        <v>302.8</v>
      </c>
      <c r="K3253" s="3" t="inlineStr">
        <is>
          <t>급매 추가조율가능 한솔동D3택지</t>
        </is>
      </c>
      <c r="L3253" s="6">
        <f>HYPERLINK("https://fin.land.naver.com/articles/2656122798", "매물Link")</f>
        <v/>
      </c>
      <c r="M3253" s="6">
        <f>HYPERLINK("https://map.naver.com/p/search/한솔동 1010", "지도Link")</f>
        <v/>
      </c>
      <c r="N3253" s="6">
        <f>HYPERLINK("http://www.eum.go.kr/web/ar/lu/luLandDet.jsp?pnu=3611010600110100000&amp;isNoScr=script&amp;mode=search", "토지이음")</f>
        <v/>
      </c>
      <c r="O3253" s="3" t="inlineStr">
        <is>
          <t>세종스타</t>
        </is>
      </c>
      <c r="P3253" s="4" t="n">
        <v>1</v>
      </c>
      <c r="Q3253" s="4" t="n">
        <v>317.1</v>
      </c>
      <c r="R3253" s="3" t="inlineStr">
        <is>
          <t>지정되지않음</t>
        </is>
      </c>
      <c r="S3253" s="3" t="inlineStr">
        <is>
          <t>주거나지</t>
        </is>
      </c>
      <c r="T3253" s="3" t="inlineStr">
        <is>
          <t>평지</t>
        </is>
      </c>
      <c r="U3253" s="3" t="inlineStr">
        <is>
          <t>세로장방</t>
        </is>
      </c>
      <c r="V3253" s="3" t="inlineStr">
        <is>
          <t>소로한면</t>
        </is>
      </c>
    </row>
    <row r="3254">
      <c r="A3254" s="3" t="inlineStr">
        <is>
          <t>한솔동 1036</t>
        </is>
      </c>
      <c r="B3254" s="3" t="inlineStr">
        <is>
          <t>제1종전용주거지역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55000</v>
      </c>
      <c r="G3254" s="4" t="n">
        <v>403</v>
      </c>
      <c r="H3254" s="4" t="n">
        <v>122</v>
      </c>
      <c r="I3254" s="5" t="n">
        <v>450.8</v>
      </c>
      <c r="J3254" s="5" t="n">
        <v>290.7</v>
      </c>
      <c r="K3254" s="3" t="inlineStr">
        <is>
          <t>가격 좋은 넓은 평형 토지매매, 조율도 가능</t>
        </is>
      </c>
      <c r="L3254" s="6">
        <f>HYPERLINK("https://fin.land.naver.com/articles/2656269979", "매물Link")</f>
        <v/>
      </c>
      <c r="M3254" s="6">
        <f>HYPERLINK("https://map.naver.com/p/search/한솔동 1036", "지도Link")</f>
        <v/>
      </c>
      <c r="N3254" s="6">
        <f>HYPERLINK("http://www.eum.go.kr/web/ar/lu/luLandDet.jsp?pnu=3611010600110360000&amp;isNoScr=script&amp;mode=search", "토지이음")</f>
        <v/>
      </c>
      <c r="O3254" s="3" t="inlineStr">
        <is>
          <t>세종무지개</t>
        </is>
      </c>
      <c r="P3254" s="4" t="n">
        <v>1</v>
      </c>
      <c r="Q3254" s="4" t="n">
        <v>405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평지</t>
        </is>
      </c>
      <c r="U3254" s="3" t="inlineStr">
        <is>
          <t>자루형</t>
        </is>
      </c>
      <c r="V3254" s="3" t="inlineStr">
        <is>
          <t>소로한면</t>
        </is>
      </c>
    </row>
    <row r="3255">
      <c r="A3255" s="3" t="inlineStr">
        <is>
          <t>한솔동 1048</t>
        </is>
      </c>
      <c r="B3255" s="3" t="inlineStr">
        <is>
          <t>제1종전용주거지역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41000</v>
      </c>
      <c r="G3255" s="4" t="n">
        <v>294</v>
      </c>
      <c r="H3255" s="4" t="n">
        <v>89</v>
      </c>
      <c r="I3255" s="5" t="n">
        <v>460.7</v>
      </c>
      <c r="J3255" s="5" t="n">
        <v>373.6</v>
      </c>
      <c r="K3255" s="3" t="inlineStr">
        <is>
          <t>남향,교육,상권,교통 생활편리한 한솔동 단독주택지 입니다.</t>
        </is>
      </c>
      <c r="L3255" s="6">
        <f>HYPERLINK("https://fin.land.naver.com/articles/2655008457", "매물Link")</f>
        <v/>
      </c>
      <c r="M3255" s="6">
        <f>HYPERLINK("https://map.naver.com/p/search/한솔동 1048", "지도Link")</f>
        <v/>
      </c>
      <c r="N3255" s="6">
        <f>HYPERLINK("http://www.eum.go.kr/web/ar/lu/luLandDet.jsp?pnu=3611010600110480000&amp;isNoScr=script&amp;mode=search", "토지이음")</f>
        <v/>
      </c>
      <c r="O3255" s="3" t="inlineStr">
        <is>
          <t>디아트성심</t>
        </is>
      </c>
      <c r="P3255" s="4" t="n">
        <v>1</v>
      </c>
      <c r="Q3255" s="4" t="n">
        <v>294.2</v>
      </c>
      <c r="R3255" s="3" t="inlineStr">
        <is>
          <t>지정되지않음</t>
        </is>
      </c>
      <c r="S3255" s="3" t="inlineStr">
        <is>
          <t>주거나지</t>
        </is>
      </c>
      <c r="T3255" s="3" t="inlineStr">
        <is>
          <t>평지</t>
        </is>
      </c>
      <c r="U3255" s="3" t="inlineStr">
        <is>
          <t>세로장방</t>
        </is>
      </c>
      <c r="V3255" s="3" t="inlineStr">
        <is>
          <t>소로한면</t>
        </is>
      </c>
    </row>
    <row r="3256">
      <c r="A3256" s="3" t="inlineStr">
        <is>
          <t>한솔동 1050</t>
        </is>
      </c>
      <c r="B3256" s="3" t="inlineStr">
        <is>
          <t>제1종전용주거지역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50000</v>
      </c>
      <c r="G3256" s="4" t="n">
        <v>294</v>
      </c>
      <c r="H3256" s="4" t="n">
        <v>89</v>
      </c>
      <c r="I3256" s="5" t="n">
        <v>561.8</v>
      </c>
      <c r="J3256" s="5" t="n">
        <v>373.6</v>
      </c>
      <c r="K3256" s="3" t="inlineStr">
        <is>
          <t>남향,교육,상권,교통 생활편리한 한솔동 단독주택지 입니다.</t>
        </is>
      </c>
      <c r="L3256" s="6">
        <f>HYPERLINK("https://fin.land.naver.com/articles/2655008399", "매물Link")</f>
        <v/>
      </c>
      <c r="M3256" s="6">
        <f>HYPERLINK("https://map.naver.com/p/search/한솔동 1050", "지도Link")</f>
        <v/>
      </c>
      <c r="N3256" s="6">
        <f>HYPERLINK("http://www.eum.go.kr/web/ar/lu/luLandDet.jsp?pnu=3611010600110500000&amp;isNoScr=script&amp;mode=search", "토지이음")</f>
        <v/>
      </c>
      <c r="O3256" s="3" t="inlineStr">
        <is>
          <t>디아트성심</t>
        </is>
      </c>
      <c r="P3256" s="4" t="n">
        <v>1</v>
      </c>
      <c r="Q3256" s="4" t="n">
        <v>294.3</v>
      </c>
      <c r="R3256" s="3" t="inlineStr">
        <is>
          <t>지정되지않음</t>
        </is>
      </c>
      <c r="S3256" s="3" t="inlineStr">
        <is>
          <t>주거나지</t>
        </is>
      </c>
      <c r="T3256" s="3" t="inlineStr">
        <is>
          <t>평지</t>
        </is>
      </c>
      <c r="U3256" s="3" t="inlineStr">
        <is>
          <t>세로장방</t>
        </is>
      </c>
      <c r="V3256" s="3" t="inlineStr">
        <is>
          <t>소로한면</t>
        </is>
      </c>
    </row>
    <row r="3257">
      <c r="A3257" s="3" t="inlineStr">
        <is>
          <t>한솔동 1059</t>
        </is>
      </c>
      <c r="B3257" s="3" t="inlineStr">
        <is>
          <t>제1종전용주거지역</t>
        </is>
      </c>
      <c r="C3257" s="3" t="inlineStr">
        <is>
          <t>대</t>
        </is>
      </c>
      <c r="D3257" s="3" t="inlineStr">
        <is>
          <t>대</t>
        </is>
      </c>
      <c r="E3257" s="3" t="inlineStr">
        <is>
          <t>매매</t>
        </is>
      </c>
      <c r="F3257" s="4" t="n">
        <v>50000</v>
      </c>
      <c r="G3257" s="4" t="n">
        <v>312</v>
      </c>
      <c r="H3257" s="4" t="n">
        <v>94</v>
      </c>
      <c r="I3257" s="5" t="n">
        <v>531.9</v>
      </c>
      <c r="J3257" s="5" t="n">
        <v>373.6</v>
      </c>
      <c r="K3257" s="3" t="inlineStr">
        <is>
          <t>상가 및 대중교통 이용 편리한 위치,근린공원 근접</t>
        </is>
      </c>
      <c r="L3257" s="6">
        <f>HYPERLINK("https://fin.land.naver.com/articles/2653795767", "매물Link")</f>
        <v/>
      </c>
      <c r="M3257" s="6">
        <f>HYPERLINK("https://map.naver.com/p/search/한솔동 1059", "지도Link")</f>
        <v/>
      </c>
      <c r="N3257" s="6">
        <f>HYPERLINK("http://www.eum.go.kr/web/ar/lu/luLandDet.jsp?pnu=3611010600110590000&amp;isNoScr=script&amp;mode=search", "토지이음")</f>
        <v/>
      </c>
      <c r="O3257" s="3" t="inlineStr">
        <is>
          <t>현대파라곤</t>
        </is>
      </c>
      <c r="P3257" s="4" t="n">
        <v>1</v>
      </c>
      <c r="Q3257" s="4" t="n">
        <v>312.4</v>
      </c>
      <c r="R3257" s="3" t="inlineStr">
        <is>
          <t>지정되지않음</t>
        </is>
      </c>
      <c r="S3257" s="3" t="inlineStr">
        <is>
          <t>주거나지</t>
        </is>
      </c>
      <c r="T3257" s="3" t="inlineStr">
        <is>
          <t>평지</t>
        </is>
      </c>
      <c r="U3257" s="3" t="inlineStr">
        <is>
          <t>세로장방</t>
        </is>
      </c>
      <c r="V3257" s="3" t="inlineStr">
        <is>
          <t>소로한면</t>
        </is>
      </c>
    </row>
    <row r="3258">
      <c r="A3258" s="3" t="inlineStr">
        <is>
          <t>한솔동 1080</t>
        </is>
      </c>
      <c r="B3258" s="3" t="inlineStr">
        <is>
          <t>제1종전용주거지역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59000</v>
      </c>
      <c r="G3258" s="4" t="n">
        <v>301</v>
      </c>
      <c r="H3258" s="4" t="n">
        <v>91</v>
      </c>
      <c r="I3258" s="5" t="n">
        <v>648.4</v>
      </c>
      <c r="J3258" s="5" t="n">
        <v>369.3</v>
      </c>
      <c r="K3258" s="3" t="inlineStr">
        <is>
          <t>총 91.2p, 한솔동 전원주택지, 위치좋은 토지</t>
        </is>
      </c>
      <c r="L3258" s="6">
        <f>HYPERLINK("https://fin.land.naver.com/articles/2654927736", "매물Link")</f>
        <v/>
      </c>
      <c r="M3258" s="6">
        <f>HYPERLINK("https://map.naver.com/p/search/한솔동 1080", "지도Link")</f>
        <v/>
      </c>
      <c r="N3258" s="6">
        <f>HYPERLINK("http://www.eum.go.kr/web/ar/lu/luLandDet.jsp?pnu=3611010600110800000&amp;isNoScr=script&amp;mode=search", "토지이음")</f>
        <v/>
      </c>
      <c r="O3258" s="3" t="inlineStr">
        <is>
          <t>명진</t>
        </is>
      </c>
      <c r="P3258" s="4" t="n">
        <v>1</v>
      </c>
      <c r="Q3258" s="4" t="n">
        <v>301.1</v>
      </c>
      <c r="R3258" s="3" t="inlineStr">
        <is>
          <t>지정되지않음</t>
        </is>
      </c>
      <c r="S3258" s="3" t="inlineStr">
        <is>
          <t>주거나지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소로한면</t>
        </is>
      </c>
    </row>
    <row r="3259">
      <c r="A3259" s="3" t="inlineStr">
        <is>
          <t>한솔동 1080</t>
        </is>
      </c>
      <c r="B3259" s="3" t="inlineStr">
        <is>
          <t>제1종전용주거지역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59000</v>
      </c>
      <c r="G3259" s="4" t="n">
        <v>301</v>
      </c>
      <c r="H3259" s="4" t="n">
        <v>91</v>
      </c>
      <c r="I3259" s="5" t="n">
        <v>648.4</v>
      </c>
      <c r="J3259" s="5" t="n">
        <v>369.3</v>
      </c>
      <c r="K3259" s="3" t="inlineStr">
        <is>
          <t>총 91.2p, 근린공원인근, 조율가능</t>
        </is>
      </c>
      <c r="L3259" s="6">
        <f>HYPERLINK("https://fin.land.naver.com/articles/2652839380", "매물Link")</f>
        <v/>
      </c>
      <c r="M3259" s="6">
        <f>HYPERLINK("https://map.naver.com/p/search/한솔동 1080", "지도Link")</f>
        <v/>
      </c>
      <c r="N3259" s="6">
        <f>HYPERLINK("http://www.eum.go.kr/web/ar/lu/luLandDet.jsp?pnu=3611010600110800000&amp;isNoScr=script&amp;mode=search", "토지이음")</f>
        <v/>
      </c>
      <c r="O3259" s="3" t="inlineStr">
        <is>
          <t>세종무지개</t>
        </is>
      </c>
      <c r="P3259" s="4" t="n">
        <v>1</v>
      </c>
      <c r="Q3259" s="4" t="n">
        <v>301.1</v>
      </c>
      <c r="R3259" s="3" t="inlineStr">
        <is>
          <t>지정되지않음</t>
        </is>
      </c>
      <c r="S3259" s="3" t="inlineStr">
        <is>
          <t>주거나지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소로한면</t>
        </is>
      </c>
    </row>
    <row r="3260">
      <c r="A3260" s="3" t="inlineStr">
        <is>
          <t>한솔동 1086</t>
        </is>
      </c>
      <c r="B3260" s="3" t="inlineStr">
        <is>
          <t>제1종전용주거지역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60000</v>
      </c>
      <c r="G3260" s="4" t="n">
        <v>310</v>
      </c>
      <c r="H3260" s="4" t="n">
        <v>94</v>
      </c>
      <c r="I3260" s="5" t="n">
        <v>638.3</v>
      </c>
      <c r="J3260" s="5" t="n">
        <v>377.2</v>
      </c>
      <c r="K3260" s="3" t="inlineStr">
        <is>
          <t>nan</t>
        </is>
      </c>
      <c r="L3260" s="6">
        <f>HYPERLINK("https://fin.land.naver.com/articles/2655011623", "매물Link")</f>
        <v/>
      </c>
      <c r="M3260" s="6">
        <f>HYPERLINK("https://map.naver.com/p/search/한솔동 1086", "지도Link")</f>
        <v/>
      </c>
      <c r="N3260" s="6">
        <f>HYPERLINK("http://www.eum.go.kr/web/ar/lu/luLandDet.jsp?pnu=3611010600110860000&amp;isNoScr=script&amp;mode=search", "토지이음")</f>
        <v/>
      </c>
      <c r="O3260" s="3" t="inlineStr">
        <is>
          <t>디아트성심</t>
        </is>
      </c>
      <c r="P3260" s="4" t="n">
        <v>1</v>
      </c>
      <c r="Q3260" s="4" t="n">
        <v>302.9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평지</t>
        </is>
      </c>
      <c r="U3260" s="3" t="inlineStr">
        <is>
          <t>세로장방</t>
        </is>
      </c>
      <c r="V3260" s="3" t="inlineStr">
        <is>
          <t>소로한면</t>
        </is>
      </c>
    </row>
    <row r="3261">
      <c r="A3261" s="3" t="inlineStr">
        <is>
          <t>한솔동 1086</t>
        </is>
      </c>
      <c r="B3261" s="3" t="inlineStr">
        <is>
          <t>제1종전용주거지역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60000</v>
      </c>
      <c r="G3261" s="4" t="n">
        <v>302</v>
      </c>
      <c r="H3261" s="4" t="n">
        <v>91</v>
      </c>
      <c r="I3261" s="5" t="n">
        <v>659.3</v>
      </c>
      <c r="J3261" s="5" t="n">
        <v>377.2</v>
      </c>
      <c r="K3261" s="3" t="inlineStr">
        <is>
          <t>황제급매 즉시신축 핵심시설 어울린 전원주택 먼곳 찾을필요 없을것 같아요</t>
        </is>
      </c>
      <c r="L3261" s="6">
        <f>HYPERLINK("https://fin.land.naver.com/articles/2654861252", "매물Link")</f>
        <v/>
      </c>
      <c r="M3261" s="6">
        <f>HYPERLINK("https://map.naver.com/p/search/한솔동 1086", "지도Link")</f>
        <v/>
      </c>
      <c r="N3261" s="6">
        <f>HYPERLINK("http://www.eum.go.kr/web/ar/lu/luLandDet.jsp?pnu=3611010600110860000&amp;isNoScr=script&amp;mode=search", "토지이음")</f>
        <v/>
      </c>
      <c r="O3261" s="3" t="inlineStr">
        <is>
          <t>삼성래미안</t>
        </is>
      </c>
      <c r="P3261" s="4" t="n">
        <v>3</v>
      </c>
      <c r="Q3261" s="4" t="n">
        <v>302.9</v>
      </c>
      <c r="R3261" s="3" t="inlineStr">
        <is>
          <t>지정되지않음</t>
        </is>
      </c>
      <c r="S3261" s="3" t="inlineStr">
        <is>
          <t>주거나지</t>
        </is>
      </c>
      <c r="T3261" s="3" t="inlineStr">
        <is>
          <t>평지</t>
        </is>
      </c>
      <c r="U3261" s="3" t="inlineStr">
        <is>
          <t>세로장방</t>
        </is>
      </c>
      <c r="V3261" s="3" t="inlineStr">
        <is>
          <t>소로한면</t>
        </is>
      </c>
    </row>
    <row r="3262">
      <c r="A3262" s="3" t="inlineStr">
        <is>
          <t>한솔동 1087</t>
        </is>
      </c>
      <c r="B3262" s="3" t="inlineStr">
        <is>
          <t>제1종전용주거지역</t>
        </is>
      </c>
      <c r="C3262" s="3" t="inlineStr">
        <is>
          <t>대</t>
        </is>
      </c>
      <c r="D3262" s="3" t="inlineStr">
        <is>
          <t>대</t>
        </is>
      </c>
      <c r="E3262" s="3" t="inlineStr">
        <is>
          <t>매매</t>
        </is>
      </c>
      <c r="F3262" s="4" t="n">
        <v>85000</v>
      </c>
      <c r="G3262" s="4" t="n">
        <v>305</v>
      </c>
      <c r="H3262" s="4" t="n">
        <v>92</v>
      </c>
      <c r="I3262" s="5" t="n">
        <v>923.9</v>
      </c>
      <c r="J3262" s="5" t="n">
        <v>377.2</v>
      </c>
      <c r="K3262" s="3" t="inlineStr">
        <is>
          <t>nan</t>
        </is>
      </c>
      <c r="L3262" s="6">
        <f>HYPERLINK("https://fin.land.naver.com/articles/2655007481", "매물Link")</f>
        <v/>
      </c>
      <c r="M3262" s="6">
        <f>HYPERLINK("https://map.naver.com/p/search/한솔동 1087", "지도Link")</f>
        <v/>
      </c>
      <c r="N3262" s="6">
        <f>HYPERLINK("http://www.eum.go.kr/web/ar/lu/luLandDet.jsp?pnu=3611010600110870000&amp;isNoScr=script&amp;mode=search", "토지이음")</f>
        <v/>
      </c>
      <c r="O3262" s="3" t="inlineStr">
        <is>
          <t>디아트성심</t>
        </is>
      </c>
      <c r="P3262" s="4" t="n">
        <v>1</v>
      </c>
      <c r="Q3262" s="4" t="n">
        <v>303.9</v>
      </c>
      <c r="R3262" s="3" t="inlineStr">
        <is>
          <t>지정되지않음</t>
        </is>
      </c>
      <c r="S3262" s="3" t="inlineStr">
        <is>
          <t>주거나지</t>
        </is>
      </c>
      <c r="T3262" s="3" t="inlineStr">
        <is>
          <t>평지</t>
        </is>
      </c>
      <c r="U3262" s="3" t="inlineStr">
        <is>
          <t>세로장방</t>
        </is>
      </c>
      <c r="V3262" s="3" t="inlineStr">
        <is>
          <t>소로한면</t>
        </is>
      </c>
    </row>
    <row r="3263">
      <c r="A3263" s="3" t="inlineStr">
        <is>
          <t>한솔동 1087</t>
        </is>
      </c>
      <c r="B3263" s="3" t="inlineStr">
        <is>
          <t>제1종전용주거지역</t>
        </is>
      </c>
      <c r="C3263" s="3" t="inlineStr">
        <is>
          <t>대</t>
        </is>
      </c>
      <c r="D3263" s="3" t="inlineStr">
        <is>
          <t>대</t>
        </is>
      </c>
      <c r="E3263" s="3" t="inlineStr">
        <is>
          <t>매매</t>
        </is>
      </c>
      <c r="F3263" s="4" t="n">
        <v>85000</v>
      </c>
      <c r="G3263" s="4" t="n">
        <v>303</v>
      </c>
      <c r="H3263" s="4" t="n">
        <v>92</v>
      </c>
      <c r="I3263" s="5" t="n">
        <v>923.9</v>
      </c>
      <c r="J3263" s="5" t="n">
        <v>377.2</v>
      </c>
      <c r="K3263" s="3" t="inlineStr">
        <is>
          <t>한솔동, 단독주택지 토지매매</t>
        </is>
      </c>
      <c r="L3263" s="6">
        <f>HYPERLINK("https://fin.land.naver.com/articles/2655854029", "매물Link")</f>
        <v/>
      </c>
      <c r="M3263" s="6">
        <f>HYPERLINK("https://map.naver.com/p/search/한솔동 1087", "지도Link")</f>
        <v/>
      </c>
      <c r="N3263" s="6">
        <f>HYPERLINK("http://www.eum.go.kr/web/ar/lu/luLandDet.jsp?pnu=3611010600110870000&amp;isNoScr=script&amp;mode=search", "토지이음")</f>
        <v/>
      </c>
      <c r="O3263" s="3" t="inlineStr">
        <is>
          <t>명진</t>
        </is>
      </c>
      <c r="P3263" s="4" t="n">
        <v>1</v>
      </c>
      <c r="Q3263" s="4" t="n">
        <v>303.9</v>
      </c>
      <c r="R3263" s="3" t="inlineStr">
        <is>
          <t>지정되지않음</t>
        </is>
      </c>
      <c r="S3263" s="3" t="inlineStr">
        <is>
          <t>주거나지</t>
        </is>
      </c>
      <c r="T3263" s="3" t="inlineStr">
        <is>
          <t>평지</t>
        </is>
      </c>
      <c r="U3263" s="3" t="inlineStr">
        <is>
          <t>세로장방</t>
        </is>
      </c>
      <c r="V3263" s="3" t="inlineStr">
        <is>
          <t>소로한면</t>
        </is>
      </c>
    </row>
    <row r="3264">
      <c r="A3264" s="3" t="inlineStr">
        <is>
          <t>한솔동 1098</t>
        </is>
      </c>
      <c r="B3264" s="3" t="inlineStr">
        <is>
          <t>제1종전용주거지역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80000</v>
      </c>
      <c r="G3264" s="4" t="n">
        <v>314</v>
      </c>
      <c r="H3264" s="4" t="n">
        <v>95</v>
      </c>
      <c r="I3264" s="5" t="n">
        <v>842.1</v>
      </c>
      <c r="J3264" s="5" t="n">
        <v>373.6</v>
      </c>
      <c r="K3264" s="3" t="inlineStr">
        <is>
          <t>삼거리 코너입지, 한솔동 단독주택지</t>
        </is>
      </c>
      <c r="L3264" s="6">
        <f>HYPERLINK("https://fin.land.naver.com/articles/2656269172", "매물Link")</f>
        <v/>
      </c>
      <c r="M3264" s="6">
        <f>HYPERLINK("https://map.naver.com/p/search/한솔동 1098", "지도Link")</f>
        <v/>
      </c>
      <c r="N3264" s="6">
        <f>HYPERLINK("http://www.eum.go.kr/web/ar/lu/luLandDet.jsp?pnu=3611010600110980000&amp;isNoScr=script&amp;mode=search", "토지이음")</f>
        <v/>
      </c>
      <c r="O3264" s="3" t="inlineStr">
        <is>
          <t>세종무지개</t>
        </is>
      </c>
      <c r="P3264" s="4" t="n">
        <v>1</v>
      </c>
      <c r="Q3264" s="4" t="n">
        <v>314.9</v>
      </c>
      <c r="R3264" s="3" t="inlineStr">
        <is>
          <t>지정되지않음</t>
        </is>
      </c>
      <c r="S3264" s="3" t="inlineStr">
        <is>
          <t>주거나지</t>
        </is>
      </c>
      <c r="T3264" s="3" t="inlineStr">
        <is>
          <t>평지</t>
        </is>
      </c>
      <c r="U3264" s="3" t="inlineStr">
        <is>
          <t>세로장방</t>
        </is>
      </c>
      <c r="V3264" s="3" t="inlineStr">
        <is>
          <t>소로한면</t>
        </is>
      </c>
    </row>
    <row r="3265">
      <c r="A3265" s="3" t="inlineStr">
        <is>
          <t>한솔동 1098</t>
        </is>
      </c>
      <c r="B3265" s="3" t="inlineStr">
        <is>
          <t>제1종전용주거지역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80000</v>
      </c>
      <c r="G3265" s="4" t="n">
        <v>314</v>
      </c>
      <c r="H3265" s="4" t="n">
        <v>95</v>
      </c>
      <c r="I3265" s="5" t="n">
        <v>842.1</v>
      </c>
      <c r="J3265" s="5" t="n">
        <v>373.6</v>
      </c>
      <c r="K3265" s="3" t="inlineStr">
        <is>
          <t>조건 파격조율가능 도심속전원 시내 시외 진출입편리 이곳은 엘도라도입니다</t>
        </is>
      </c>
      <c r="L3265" s="6">
        <f>HYPERLINK("https://fin.land.naver.com/articles/2654203210", "매물Link")</f>
        <v/>
      </c>
      <c r="M3265" s="6">
        <f>HYPERLINK("https://map.naver.com/p/search/한솔동 1098", "지도Link")</f>
        <v/>
      </c>
      <c r="N3265" s="6">
        <f>HYPERLINK("http://www.eum.go.kr/web/ar/lu/luLandDet.jsp?pnu=3611010600110980000&amp;isNoScr=script&amp;mode=search", "토지이음")</f>
        <v/>
      </c>
      <c r="O3265" s="3" t="inlineStr">
        <is>
          <t>세종시삼성래미안</t>
        </is>
      </c>
      <c r="P3265" s="4" t="n">
        <v>1</v>
      </c>
      <c r="Q3265" s="4" t="n">
        <v>314.9</v>
      </c>
      <c r="R3265" s="3" t="inlineStr">
        <is>
          <t>지정되지않음</t>
        </is>
      </c>
      <c r="S3265" s="3" t="inlineStr">
        <is>
          <t>주거나지</t>
        </is>
      </c>
      <c r="T3265" s="3" t="inlineStr">
        <is>
          <t>평지</t>
        </is>
      </c>
      <c r="U3265" s="3" t="inlineStr">
        <is>
          <t>세로장방</t>
        </is>
      </c>
      <c r="V3265" s="3" t="inlineStr">
        <is>
          <t>소로한면</t>
        </is>
      </c>
    </row>
    <row r="3266">
      <c r="A3266" s="3" t="inlineStr">
        <is>
          <t>한솔동 1098</t>
        </is>
      </c>
      <c r="B3266" s="3" t="inlineStr">
        <is>
          <t>제1종전용주거지역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80000</v>
      </c>
      <c r="G3266" s="4" t="n">
        <v>314</v>
      </c>
      <c r="H3266" s="4" t="n">
        <v>95</v>
      </c>
      <c r="I3266" s="5" t="n">
        <v>842.1</v>
      </c>
      <c r="J3266" s="5" t="n">
        <v>373.6</v>
      </c>
      <c r="K3266" s="3" t="inlineStr">
        <is>
          <t>95.4p, 삼거리코너 맞은편, 새뜸1단지 앞 단독주택 토지</t>
        </is>
      </c>
      <c r="L3266" s="6">
        <f>HYPERLINK("https://fin.land.naver.com/articles/2654927138", "매물Link")</f>
        <v/>
      </c>
      <c r="M3266" s="6">
        <f>HYPERLINK("https://map.naver.com/p/search/한솔동 1098", "지도Link")</f>
        <v/>
      </c>
      <c r="N3266" s="6">
        <f>HYPERLINK("http://www.eum.go.kr/web/ar/lu/luLandDet.jsp?pnu=3611010600110980000&amp;isNoScr=script&amp;mode=search", "토지이음")</f>
        <v/>
      </c>
      <c r="O3266" s="3" t="inlineStr">
        <is>
          <t>명진</t>
        </is>
      </c>
      <c r="P3266" s="4" t="n">
        <v>1</v>
      </c>
      <c r="Q3266" s="4" t="n">
        <v>314.9</v>
      </c>
      <c r="R3266" s="3" t="inlineStr">
        <is>
          <t>지정되지않음</t>
        </is>
      </c>
      <c r="S3266" s="3" t="inlineStr">
        <is>
          <t>주거나지</t>
        </is>
      </c>
      <c r="T3266" s="3" t="inlineStr">
        <is>
          <t>평지</t>
        </is>
      </c>
      <c r="U3266" s="3" t="inlineStr">
        <is>
          <t>세로장방</t>
        </is>
      </c>
      <c r="V3266" s="3" t="inlineStr">
        <is>
          <t>소로한면</t>
        </is>
      </c>
    </row>
    <row r="3267">
      <c r="A3267" s="3" t="inlineStr">
        <is>
          <t>한솔동 1113</t>
        </is>
      </c>
      <c r="B3267" s="3" t="inlineStr">
        <is>
          <t>제1종전용주거지역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60000</v>
      </c>
      <c r="G3267" s="4" t="n">
        <v>320</v>
      </c>
      <c r="H3267" s="4" t="n">
        <v>97</v>
      </c>
      <c r="I3267" s="5" t="n">
        <v>618.6</v>
      </c>
      <c r="J3267" s="5" t="n">
        <v>373.6</v>
      </c>
      <c r="K3267" s="3" t="inlineStr">
        <is>
          <t>적극협의가능 시유지넓게접함 선호위치</t>
        </is>
      </c>
      <c r="L3267" s="6">
        <f>HYPERLINK("https://fin.land.naver.com/articles/2656122956", "매물Link")</f>
        <v/>
      </c>
      <c r="M3267" s="6">
        <f>HYPERLINK("https://map.naver.com/p/search/한솔동 1113", "지도Link")</f>
        <v/>
      </c>
      <c r="N3267" s="6">
        <f>HYPERLINK("http://www.eum.go.kr/web/ar/lu/luLandDet.jsp?pnu=3611010600111130000&amp;isNoScr=script&amp;mode=search", "토지이음")</f>
        <v/>
      </c>
      <c r="O3267" s="3" t="inlineStr">
        <is>
          <t>세종스타</t>
        </is>
      </c>
      <c r="P3267" s="4" t="n">
        <v>1</v>
      </c>
      <c r="Q3267" s="4" t="n">
        <v>320.1</v>
      </c>
      <c r="R3267" s="3" t="inlineStr">
        <is>
          <t>지정되지않음</t>
        </is>
      </c>
      <c r="S3267" s="3" t="inlineStr">
        <is>
          <t>주거나지</t>
        </is>
      </c>
      <c r="T3267" s="3" t="inlineStr">
        <is>
          <t>평지</t>
        </is>
      </c>
      <c r="U3267" s="3" t="inlineStr">
        <is>
          <t>세로장방</t>
        </is>
      </c>
      <c r="V3267" s="3" t="inlineStr">
        <is>
          <t>소로한면</t>
        </is>
      </c>
    </row>
    <row r="3268">
      <c r="A3268" s="3" t="inlineStr">
        <is>
          <t>한솔동 1122</t>
        </is>
      </c>
      <c r="B3268" s="3" t="inlineStr">
        <is>
          <t>제1종전용주거지역</t>
        </is>
      </c>
      <c r="C3268" s="3" t="inlineStr">
        <is>
          <t>대</t>
        </is>
      </c>
      <c r="D3268" s="3" t="inlineStr">
        <is>
          <t>대</t>
        </is>
      </c>
      <c r="E3268" s="3" t="inlineStr">
        <is>
          <t>매매</t>
        </is>
      </c>
      <c r="F3268" s="4" t="n">
        <v>80000</v>
      </c>
      <c r="G3268" s="4" t="n">
        <v>310</v>
      </c>
      <c r="H3268" s="4" t="n">
        <v>94</v>
      </c>
      <c r="I3268" s="5" t="n">
        <v>851.1</v>
      </c>
      <c r="J3268" s="5" t="n">
        <v>376.9</v>
      </c>
      <c r="K3268" s="3" t="inlineStr">
        <is>
          <t>한솔동 단독주택 토지매매</t>
        </is>
      </c>
      <c r="L3268" s="6">
        <f>HYPERLINK("https://fin.land.naver.com/articles/2656264724", "매물Link")</f>
        <v/>
      </c>
      <c r="M3268" s="6">
        <f>HYPERLINK("https://map.naver.com/p/search/한솔동 1122", "지도Link")</f>
        <v/>
      </c>
      <c r="N3268" s="6">
        <f>HYPERLINK("http://www.eum.go.kr/web/ar/lu/luLandDet.jsp?pnu=3611010600111220000&amp;isNoScr=script&amp;mode=search", "토지이음")</f>
        <v/>
      </c>
      <c r="O3268" s="3" t="inlineStr">
        <is>
          <t>세종무지개</t>
        </is>
      </c>
      <c r="P3268" s="4" t="n">
        <v>1</v>
      </c>
      <c r="Q3268" s="4" t="n">
        <v>310.1</v>
      </c>
      <c r="R3268" s="3" t="inlineStr">
        <is>
          <t>지정되지않음</t>
        </is>
      </c>
      <c r="S3268" s="3" t="inlineStr">
        <is>
          <t>주거나지</t>
        </is>
      </c>
      <c r="T3268" s="3" t="inlineStr">
        <is>
          <t>평지</t>
        </is>
      </c>
      <c r="U3268" s="3" t="inlineStr">
        <is>
          <t>세로장방</t>
        </is>
      </c>
      <c r="V3268" s="3" t="inlineStr">
        <is>
          <t>소로한면</t>
        </is>
      </c>
    </row>
    <row r="3269">
      <c r="A3269" s="3" t="inlineStr">
        <is>
          <t>한솔동 1122</t>
        </is>
      </c>
      <c r="B3269" s="3" t="inlineStr">
        <is>
          <t>제1종전용주거지역</t>
        </is>
      </c>
      <c r="C3269" s="3" t="inlineStr">
        <is>
          <t>대</t>
        </is>
      </c>
      <c r="D3269" s="3" t="inlineStr">
        <is>
          <t>대</t>
        </is>
      </c>
      <c r="E3269" s="3" t="inlineStr">
        <is>
          <t>매매</t>
        </is>
      </c>
      <c r="F3269" s="4" t="n">
        <v>80000</v>
      </c>
      <c r="G3269" s="4" t="n">
        <v>310</v>
      </c>
      <c r="H3269" s="4" t="n">
        <v>94</v>
      </c>
      <c r="I3269" s="5" t="n">
        <v>851.1</v>
      </c>
      <c r="J3269" s="5" t="n">
        <v>376.9</v>
      </c>
      <c r="K3269" s="3" t="inlineStr">
        <is>
          <t>총 94p, 한솔동 단독주택지 토지</t>
        </is>
      </c>
      <c r="L3269" s="6">
        <f>HYPERLINK("https://fin.land.naver.com/articles/2654920463", "매물Link")</f>
        <v/>
      </c>
      <c r="M3269" s="6">
        <f>HYPERLINK("https://map.naver.com/p/search/한솔동 1122", "지도Link")</f>
        <v/>
      </c>
      <c r="N3269" s="6">
        <f>HYPERLINK("http://www.eum.go.kr/web/ar/lu/luLandDet.jsp?pnu=3611010600111220000&amp;isNoScr=script&amp;mode=search", "토지이음")</f>
        <v/>
      </c>
      <c r="O3269" s="3" t="inlineStr">
        <is>
          <t>명진</t>
        </is>
      </c>
      <c r="P3269" s="4" t="n">
        <v>1</v>
      </c>
      <c r="Q3269" s="4" t="n">
        <v>310.1</v>
      </c>
      <c r="R3269" s="3" t="inlineStr">
        <is>
          <t>지정되지않음</t>
        </is>
      </c>
      <c r="S3269" s="3" t="inlineStr">
        <is>
          <t>주거나지</t>
        </is>
      </c>
      <c r="T3269" s="3" t="inlineStr">
        <is>
          <t>평지</t>
        </is>
      </c>
      <c r="U3269" s="3" t="inlineStr">
        <is>
          <t>세로장방</t>
        </is>
      </c>
      <c r="V3269" s="3" t="inlineStr">
        <is>
          <t>소로한면</t>
        </is>
      </c>
    </row>
    <row r="3270">
      <c r="A3270" s="3" t="inlineStr">
        <is>
          <t>한솔동 1135</t>
        </is>
      </c>
      <c r="B3270" s="3" t="inlineStr">
        <is>
          <t>제1종전용주거지역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55000</v>
      </c>
      <c r="G3270" s="4" t="n">
        <v>309</v>
      </c>
      <c r="H3270" s="4" t="n">
        <v>93</v>
      </c>
      <c r="I3270" s="5" t="n">
        <v>591.4</v>
      </c>
      <c r="J3270" s="5" t="n">
        <v>376.9</v>
      </c>
      <c r="K3270" s="3" t="inlineStr">
        <is>
          <t>새롬동과 한솔동사이 경사진 단독전용 택지,협의가능</t>
        </is>
      </c>
      <c r="L3270" s="6">
        <f>HYPERLINK("https://fin.land.naver.com/articles/2653031834", "매물Link")</f>
        <v/>
      </c>
      <c r="M3270" s="6">
        <f>HYPERLINK("https://map.naver.com/p/search/한솔동 1135", "지도Link")</f>
        <v/>
      </c>
      <c r="N3270" s="6">
        <f>HYPERLINK("http://www.eum.go.kr/web/ar/lu/luLandDet.jsp?pnu=3611010600111350000&amp;isNoScr=script&amp;mode=search", "토지이음")</f>
        <v/>
      </c>
      <c r="O3270" s="3" t="inlineStr">
        <is>
          <t>세종나라</t>
        </is>
      </c>
      <c r="P3270" s="4" t="n">
        <v>2</v>
      </c>
      <c r="Q3270" s="4" t="n">
        <v>309.9</v>
      </c>
      <c r="R3270" s="3" t="inlineStr">
        <is>
          <t>지정되지않음</t>
        </is>
      </c>
      <c r="S3270" s="3" t="inlineStr">
        <is>
          <t>주거나지</t>
        </is>
      </c>
      <c r="T3270" s="3" t="inlineStr">
        <is>
          <t>평지</t>
        </is>
      </c>
      <c r="U3270" s="3" t="inlineStr">
        <is>
          <t>세로장방</t>
        </is>
      </c>
      <c r="V3270" s="3" t="inlineStr">
        <is>
          <t>소로한면</t>
        </is>
      </c>
    </row>
    <row r="3271">
      <c r="A3271" s="3" t="inlineStr">
        <is>
          <t>한솔동 1152</t>
        </is>
      </c>
      <c r="B3271" s="3" t="inlineStr">
        <is>
          <t>제1종전용주거지역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75000</v>
      </c>
      <c r="G3271" s="4" t="n">
        <v>309</v>
      </c>
      <c r="H3271" s="4" t="n">
        <v>93</v>
      </c>
      <c r="I3271" s="5" t="n">
        <v>806.5</v>
      </c>
      <c r="J3271" s="5" t="n">
        <v>376.9</v>
      </c>
      <c r="K3271" s="3" t="inlineStr">
        <is>
          <t>한솔동 인기주택지중 좋은위치의 저렴한 택지로 조율 가능함</t>
        </is>
      </c>
      <c r="L3271" s="6">
        <f>HYPERLINK("https://fin.land.naver.com/articles/2654594075", "매물Link")</f>
        <v/>
      </c>
      <c r="M3271" s="6">
        <f>HYPERLINK("https://map.naver.com/p/search/한솔동 1152", "지도Link")</f>
        <v/>
      </c>
      <c r="N3271" s="6">
        <f>HYPERLINK("http://www.eum.go.kr/web/ar/lu/luLandDet.jsp?pnu=3611010600111520000&amp;isNoScr=script&amp;mode=search", "토지이음")</f>
        <v/>
      </c>
      <c r="O3271" s="3" t="inlineStr">
        <is>
          <t>바로그</t>
        </is>
      </c>
      <c r="P3271" s="4" t="n">
        <v>1</v>
      </c>
      <c r="Q3271" s="4" t="n">
        <v>309.4</v>
      </c>
      <c r="R3271" s="3" t="inlineStr">
        <is>
          <t>지정되지않음</t>
        </is>
      </c>
      <c r="S3271" s="3" t="inlineStr">
        <is>
          <t>주거나지</t>
        </is>
      </c>
      <c r="T3271" s="3" t="inlineStr">
        <is>
          <t>평지</t>
        </is>
      </c>
      <c r="U3271" s="3" t="inlineStr">
        <is>
          <t>세로장방</t>
        </is>
      </c>
      <c r="V3271" s="3" t="inlineStr">
        <is>
          <t>소로한면</t>
        </is>
      </c>
    </row>
    <row r="3272">
      <c r="A3272" s="3" t="inlineStr">
        <is>
          <t>한솔동 1175</t>
        </is>
      </c>
      <c r="B3272" s="3" t="inlineStr">
        <is>
          <t>제1종전용주거지역</t>
        </is>
      </c>
      <c r="C3272" s="3" t="inlineStr">
        <is>
          <t>대</t>
        </is>
      </c>
      <c r="D3272" s="3" t="inlineStr">
        <is>
          <t>대</t>
        </is>
      </c>
      <c r="E3272" s="3" t="inlineStr">
        <is>
          <t>매매</t>
        </is>
      </c>
      <c r="F3272" s="4" t="n">
        <v>90000</v>
      </c>
      <c r="G3272" s="4" t="n">
        <v>407</v>
      </c>
      <c r="H3272" s="4" t="n">
        <v>123</v>
      </c>
      <c r="I3272" s="5" t="n">
        <v>731.7</v>
      </c>
      <c r="J3272" s="5" t="n">
        <v>389.8</v>
      </c>
      <c r="K3272" s="3" t="inlineStr">
        <is>
          <t>넓은 평형 토지매매, 한솔동</t>
        </is>
      </c>
      <c r="L3272" s="6">
        <f>HYPERLINK("https://fin.land.naver.com/articles/2656259971", "매물Link")</f>
        <v/>
      </c>
      <c r="M3272" s="6">
        <f>HYPERLINK("https://map.naver.com/p/search/한솔동 1175", "지도Link")</f>
        <v/>
      </c>
      <c r="N3272" s="6">
        <f>HYPERLINK("http://www.eum.go.kr/web/ar/lu/luLandDet.jsp?pnu=3611010600111750000&amp;isNoScr=script&amp;mode=search", "토지이음")</f>
        <v/>
      </c>
      <c r="O3272" s="3" t="inlineStr">
        <is>
          <t>세종무지개</t>
        </is>
      </c>
      <c r="P3272" s="4" t="n">
        <v>1</v>
      </c>
      <c r="Q3272" s="4" t="n">
        <v>407.1</v>
      </c>
      <c r="R3272" s="3" t="inlineStr">
        <is>
          <t>지정되지않음</t>
        </is>
      </c>
      <c r="S3272" s="3" t="inlineStr">
        <is>
          <t>주거나지</t>
        </is>
      </c>
      <c r="T3272" s="3" t="inlineStr">
        <is>
          <t>평지</t>
        </is>
      </c>
      <c r="U3272" s="3" t="inlineStr">
        <is>
          <t>정방형</t>
        </is>
      </c>
      <c r="V3272" s="3" t="inlineStr">
        <is>
          <t>소로한면</t>
        </is>
      </c>
    </row>
    <row r="3273">
      <c r="A3273" s="3" t="inlineStr">
        <is>
          <t>한솔동 1175</t>
        </is>
      </c>
      <c r="B3273" s="3" t="inlineStr">
        <is>
          <t>제1종전용주거지역</t>
        </is>
      </c>
      <c r="C3273" s="3" t="inlineStr">
        <is>
          <t>대</t>
        </is>
      </c>
      <c r="D3273" s="3" t="inlineStr">
        <is>
          <t>대</t>
        </is>
      </c>
      <c r="E3273" s="3" t="inlineStr">
        <is>
          <t>매매</t>
        </is>
      </c>
      <c r="F3273" s="4" t="n">
        <v>90000</v>
      </c>
      <c r="G3273" s="4" t="n">
        <v>407</v>
      </c>
      <c r="H3273" s="4" t="n">
        <v>123</v>
      </c>
      <c r="I3273" s="5" t="n">
        <v>731.7</v>
      </c>
      <c r="J3273" s="5" t="n">
        <v>389.8</v>
      </c>
      <c r="K3273" s="3" t="inlineStr">
        <is>
          <t>총 123.4p, 새뜸1단지 맞은편</t>
        </is>
      </c>
      <c r="L3273" s="6">
        <f>HYPERLINK("https://fin.land.naver.com/articles/2654232425", "매물Link")</f>
        <v/>
      </c>
      <c r="M3273" s="6">
        <f>HYPERLINK("https://map.naver.com/p/search/한솔동 1175", "지도Link")</f>
        <v/>
      </c>
      <c r="N3273" s="6">
        <f>HYPERLINK("http://www.eum.go.kr/web/ar/lu/luLandDet.jsp?pnu=3611010600111750000&amp;isNoScr=script&amp;mode=search", "토지이음")</f>
        <v/>
      </c>
      <c r="O3273" s="3" t="inlineStr">
        <is>
          <t>명진</t>
        </is>
      </c>
      <c r="P3273" s="4" t="n">
        <v>1</v>
      </c>
      <c r="Q3273" s="4" t="n">
        <v>407.1</v>
      </c>
      <c r="R3273" s="3" t="inlineStr">
        <is>
          <t>지정되지않음</t>
        </is>
      </c>
      <c r="S3273" s="3" t="inlineStr">
        <is>
          <t>주거나지</t>
        </is>
      </c>
      <c r="T3273" s="3" t="inlineStr">
        <is>
          <t>평지</t>
        </is>
      </c>
      <c r="U3273" s="3" t="inlineStr">
        <is>
          <t>정방형</t>
        </is>
      </c>
      <c r="V3273" s="3" t="inlineStr">
        <is>
          <t>소로한면</t>
        </is>
      </c>
    </row>
    <row r="3274">
      <c r="A3274" s="3" t="inlineStr">
        <is>
          <t>한솔동 1175</t>
        </is>
      </c>
      <c r="B3274" s="3" t="inlineStr">
        <is>
          <t>제1종전용주거지역</t>
        </is>
      </c>
      <c r="C3274" s="3" t="inlineStr">
        <is>
          <t>대</t>
        </is>
      </c>
      <c r="D3274" s="3" t="inlineStr">
        <is>
          <t>대</t>
        </is>
      </c>
      <c r="E3274" s="3" t="inlineStr">
        <is>
          <t>매매</t>
        </is>
      </c>
      <c r="F3274" s="4" t="n">
        <v>90000</v>
      </c>
      <c r="G3274" s="4" t="n">
        <v>407</v>
      </c>
      <c r="H3274" s="4" t="n">
        <v>123</v>
      </c>
      <c r="I3274" s="5" t="n">
        <v>731.7</v>
      </c>
      <c r="J3274" s="5" t="n">
        <v>389.8</v>
      </c>
      <c r="K3274" s="3" t="inlineStr">
        <is>
          <t>nan</t>
        </is>
      </c>
      <c r="L3274" s="6">
        <f>HYPERLINK("https://fin.land.naver.com/articles/2655008691", "매물Link")</f>
        <v/>
      </c>
      <c r="M3274" s="6">
        <f>HYPERLINK("https://map.naver.com/p/search/한솔동 1175", "지도Link")</f>
        <v/>
      </c>
      <c r="N3274" s="6">
        <f>HYPERLINK("http://www.eum.go.kr/web/ar/lu/luLandDet.jsp?pnu=3611010600111750000&amp;isNoScr=script&amp;mode=search", "토지이음")</f>
        <v/>
      </c>
      <c r="O3274" s="3" t="inlineStr">
        <is>
          <t>디아트성심</t>
        </is>
      </c>
      <c r="P3274" s="4" t="n">
        <v>1</v>
      </c>
      <c r="Q3274" s="4" t="n">
        <v>407.1</v>
      </c>
      <c r="R3274" s="3" t="inlineStr">
        <is>
          <t>지정되지않음</t>
        </is>
      </c>
      <c r="S3274" s="3" t="inlineStr">
        <is>
          <t>주거나지</t>
        </is>
      </c>
      <c r="T3274" s="3" t="inlineStr">
        <is>
          <t>평지</t>
        </is>
      </c>
      <c r="U3274" s="3" t="inlineStr">
        <is>
          <t>정방형</t>
        </is>
      </c>
      <c r="V3274" s="3" t="inlineStr">
        <is>
          <t>소로한면</t>
        </is>
      </c>
    </row>
    <row r="3275">
      <c r="A3275" s="3" t="inlineStr">
        <is>
          <t>한솔동 1187</t>
        </is>
      </c>
      <c r="B3275" s="3" t="inlineStr">
        <is>
          <t>제1종전용주거지역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60000</v>
      </c>
      <c r="G3275" s="4" t="n">
        <v>420</v>
      </c>
      <c r="H3275" s="4" t="n">
        <v>127</v>
      </c>
      <c r="I3275" s="5" t="n">
        <v>472.4</v>
      </c>
      <c r="J3275" s="5" t="n">
        <v>391.7</v>
      </c>
      <c r="K3275" s="3" t="inlineStr">
        <is>
          <t>대형평수 코너각지 위치최상 조율협의</t>
        </is>
      </c>
      <c r="L3275" s="6">
        <f>HYPERLINK("https://fin.land.naver.com/articles/2655186672", "매물Link")</f>
        <v/>
      </c>
      <c r="M3275" s="6">
        <f>HYPERLINK("https://map.naver.com/p/search/한솔동 1187", "지도Link")</f>
        <v/>
      </c>
      <c r="N3275" s="6">
        <f>HYPERLINK("http://www.eum.go.kr/web/ar/lu/luLandDet.jsp?pnu=3611010600111870000&amp;isNoScr=script&amp;mode=search", "토지이음")</f>
        <v/>
      </c>
      <c r="O3275" s="3" t="inlineStr">
        <is>
          <t>세종스타</t>
        </is>
      </c>
      <c r="P3275" s="4" t="n">
        <v>2</v>
      </c>
      <c r="Q3275" s="4" t="n">
        <v>420</v>
      </c>
      <c r="R3275" s="3" t="inlineStr">
        <is>
          <t>지정되지않음</t>
        </is>
      </c>
      <c r="S3275" s="3" t="inlineStr">
        <is>
          <t>주거나지</t>
        </is>
      </c>
      <c r="T3275" s="3" t="inlineStr">
        <is>
          <t>평지</t>
        </is>
      </c>
      <c r="U3275" s="3" t="inlineStr">
        <is>
          <t>정방형</t>
        </is>
      </c>
      <c r="V3275" s="3" t="inlineStr">
        <is>
          <t>소로각지</t>
        </is>
      </c>
    </row>
    <row r="3276">
      <c r="A3276" s="3" t="inlineStr">
        <is>
          <t>한솔동 1193</t>
        </is>
      </c>
      <c r="B3276" s="3" t="inlineStr">
        <is>
          <t>제1종전용주거지역</t>
        </is>
      </c>
      <c r="C3276" s="3" t="inlineStr">
        <is>
          <t>대</t>
        </is>
      </c>
      <c r="D3276" s="3" t="inlineStr">
        <is>
          <t>대</t>
        </is>
      </c>
      <c r="E3276" s="3" t="inlineStr">
        <is>
          <t>매매</t>
        </is>
      </c>
      <c r="F3276" s="4" t="n">
        <v>65000</v>
      </c>
      <c r="G3276" s="4" t="n">
        <v>320</v>
      </c>
      <c r="H3276" s="4" t="n">
        <v>97</v>
      </c>
      <c r="I3276" s="5" t="n">
        <v>670.1</v>
      </c>
      <c r="J3276" s="5" t="n">
        <v>391.7</v>
      </c>
      <c r="K3276" s="3" t="inlineStr">
        <is>
          <t>코너위치좋은한솔동단독택지매매 가격조정가능</t>
        </is>
      </c>
      <c r="L3276" s="6">
        <f>HYPERLINK("https://fin.land.naver.com/articles/2651789377", "매물Link")</f>
        <v/>
      </c>
      <c r="M3276" s="6">
        <f>HYPERLINK("https://map.naver.com/p/search/한솔동 1193", "지도Link")</f>
        <v/>
      </c>
      <c r="N3276" s="6">
        <f>HYPERLINK("http://www.eum.go.kr/web/ar/lu/luLandDet.jsp?pnu=3611010600111930000&amp;isNoScr=script&amp;mode=search", "토지이음")</f>
        <v/>
      </c>
      <c r="O3276" s="3" t="inlineStr">
        <is>
          <t>고운동리치세종</t>
        </is>
      </c>
      <c r="P3276" s="4" t="n">
        <v>2</v>
      </c>
      <c r="Q3276" s="4" t="n">
        <v>320.1</v>
      </c>
      <c r="R3276" s="3" t="inlineStr">
        <is>
          <t>지정되지않음</t>
        </is>
      </c>
      <c r="S3276" s="3" t="inlineStr">
        <is>
          <t>주거나지</t>
        </is>
      </c>
      <c r="T3276" s="3" t="inlineStr">
        <is>
          <t>평지</t>
        </is>
      </c>
      <c r="U3276" s="3" t="inlineStr">
        <is>
          <t>세로장방</t>
        </is>
      </c>
      <c r="V3276" s="3" t="inlineStr">
        <is>
          <t>소로각지</t>
        </is>
      </c>
    </row>
    <row r="3277">
      <c r="A3277" s="3" t="inlineStr">
        <is>
          <t>한솔동 1194</t>
        </is>
      </c>
      <c r="B3277" s="3" t="inlineStr">
        <is>
          <t>제1종전용주거지역</t>
        </is>
      </c>
      <c r="C3277" s="3" t="inlineStr">
        <is>
          <t>대</t>
        </is>
      </c>
      <c r="D3277" s="3" t="inlineStr">
        <is>
          <t>대</t>
        </is>
      </c>
      <c r="E3277" s="3" t="inlineStr">
        <is>
          <t>매매</t>
        </is>
      </c>
      <c r="F3277" s="4" t="n">
        <v>49000</v>
      </c>
      <c r="G3277" s="4" t="n">
        <v>335</v>
      </c>
      <c r="H3277" s="4" t="n">
        <v>101</v>
      </c>
      <c r="I3277" s="5" t="n">
        <v>485.1</v>
      </c>
      <c r="J3277" s="5" t="n">
        <v>376.9</v>
      </c>
      <c r="K3277" s="3" t="inlineStr">
        <is>
          <t>101p.단독택지.1분거리.학원.마트.초중고.5분.단독주택.전원주택.추천</t>
        </is>
      </c>
      <c r="L3277" s="6">
        <f>HYPERLINK("https://fin.land.naver.com/articles/2654690294", "매물Link")</f>
        <v/>
      </c>
      <c r="M3277" s="6">
        <f>HYPERLINK("https://map.naver.com/p/search/한솔동 1194", "지도Link")</f>
        <v/>
      </c>
      <c r="N3277" s="6">
        <f>HYPERLINK("http://www.eum.go.kr/web/ar/lu/luLandDet.jsp?pnu=3611010600111940000&amp;isNoScr=script&amp;mode=search", "토지이음")</f>
        <v/>
      </c>
      <c r="O3277" s="3" t="inlineStr">
        <is>
          <t>원</t>
        </is>
      </c>
      <c r="P3277" s="4" t="n">
        <v>1</v>
      </c>
      <c r="Q3277" s="4" t="n">
        <v>335.4</v>
      </c>
      <c r="R3277" s="3" t="inlineStr">
        <is>
          <t>지정되지않음</t>
        </is>
      </c>
      <c r="S3277" s="3" t="inlineStr">
        <is>
          <t>주거나지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소로한면</t>
        </is>
      </c>
    </row>
    <row r="3278">
      <c r="A3278" s="3" t="inlineStr">
        <is>
          <t>한솔동 1194</t>
        </is>
      </c>
      <c r="B3278" s="3" t="inlineStr">
        <is>
          <t>제1종전용주거지역</t>
        </is>
      </c>
      <c r="C3278" s="3" t="inlineStr">
        <is>
          <t>대</t>
        </is>
      </c>
      <c r="D3278" s="3" t="inlineStr">
        <is>
          <t>대</t>
        </is>
      </c>
      <c r="E3278" s="3" t="inlineStr">
        <is>
          <t>매매</t>
        </is>
      </c>
      <c r="F3278" s="4" t="n">
        <v>49000</v>
      </c>
      <c r="G3278" s="4" t="n">
        <v>335</v>
      </c>
      <c r="H3278" s="4" t="n">
        <v>101</v>
      </c>
      <c r="I3278" s="5" t="n">
        <v>485.1</v>
      </c>
      <c r="J3278" s="5" t="n">
        <v>376.9</v>
      </c>
      <c r="K3278" s="3" t="inlineStr">
        <is>
          <t>급매 추가조율가능 한솔D2 최저가 초중고도보 상권인접</t>
        </is>
      </c>
      <c r="L3278" s="6">
        <f>HYPERLINK("https://fin.land.naver.com/articles/2655177545", "매물Link")</f>
        <v/>
      </c>
      <c r="M3278" s="6">
        <f>HYPERLINK("https://map.naver.com/p/search/한솔동 1194", "지도Link")</f>
        <v/>
      </c>
      <c r="N3278" s="6">
        <f>HYPERLINK("http://www.eum.go.kr/web/ar/lu/luLandDet.jsp?pnu=3611010600111940000&amp;isNoScr=script&amp;mode=search", "토지이음")</f>
        <v/>
      </c>
      <c r="O3278" s="3" t="inlineStr">
        <is>
          <t>세종스타</t>
        </is>
      </c>
      <c r="P3278" s="4" t="n">
        <v>2</v>
      </c>
      <c r="Q3278" s="4" t="n">
        <v>335.4</v>
      </c>
      <c r="R3278" s="3" t="inlineStr">
        <is>
          <t>지정되지않음</t>
        </is>
      </c>
      <c r="S3278" s="3" t="inlineStr">
        <is>
          <t>주거나지</t>
        </is>
      </c>
      <c r="T3278" s="3" t="inlineStr">
        <is>
          <t>평지</t>
        </is>
      </c>
      <c r="U3278" s="3" t="inlineStr">
        <is>
          <t>세로장방</t>
        </is>
      </c>
      <c r="V3278" s="3" t="inlineStr">
        <is>
          <t>소로한면</t>
        </is>
      </c>
    </row>
    <row r="3279">
      <c r="A3279" s="3" t="inlineStr">
        <is>
          <t>한솔동 1197</t>
        </is>
      </c>
      <c r="B3279" s="3" t="inlineStr">
        <is>
          <t>제1종전용주거지역</t>
        </is>
      </c>
      <c r="C3279" s="3" t="inlineStr">
        <is>
          <t>대</t>
        </is>
      </c>
      <c r="D3279" s="3" t="inlineStr">
        <is>
          <t>대</t>
        </is>
      </c>
      <c r="E3279" s="3" t="inlineStr">
        <is>
          <t>매매</t>
        </is>
      </c>
      <c r="F3279" s="4" t="n">
        <v>75000</v>
      </c>
      <c r="G3279" s="4" t="n">
        <v>320</v>
      </c>
      <c r="H3279" s="4" t="n">
        <v>97</v>
      </c>
      <c r="I3279" s="5" t="n">
        <v>773.2</v>
      </c>
      <c r="J3279" s="5" t="n">
        <v>391.7</v>
      </c>
      <c r="K3279" s="3" t="inlineStr">
        <is>
          <t>공원앞 코너각지토지 97p 답답하지않은 위치</t>
        </is>
      </c>
      <c r="L3279" s="6">
        <f>HYPERLINK("https://fin.land.naver.com/articles/2653171975", "매물Link")</f>
        <v/>
      </c>
      <c r="M3279" s="6">
        <f>HYPERLINK("https://map.naver.com/p/search/한솔동 1197", "지도Link")</f>
        <v/>
      </c>
      <c r="N3279" s="6">
        <f>HYPERLINK("http://www.eum.go.kr/web/ar/lu/luLandDet.jsp?pnu=3611010600111970000&amp;isNoScr=script&amp;mode=search", "토지이음")</f>
        <v/>
      </c>
      <c r="O3279" s="3" t="inlineStr">
        <is>
          <t>세종365</t>
        </is>
      </c>
      <c r="P3279" s="4" t="n">
        <v>1</v>
      </c>
      <c r="Q3279" s="4" t="n">
        <v>320.4</v>
      </c>
      <c r="R3279" s="3" t="inlineStr">
        <is>
          <t>지정되지않음</t>
        </is>
      </c>
      <c r="S3279" s="3" t="inlineStr">
        <is>
          <t>주거나지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소로각지</t>
        </is>
      </c>
    </row>
    <row r="3280">
      <c r="A3280" s="3" t="inlineStr">
        <is>
          <t>한솔동 1201</t>
        </is>
      </c>
      <c r="B3280" s="3" t="inlineStr">
        <is>
          <t>제1종전용주거지역</t>
        </is>
      </c>
      <c r="C3280" s="3" t="inlineStr">
        <is>
          <t>대</t>
        </is>
      </c>
      <c r="D3280" s="3" t="inlineStr">
        <is>
          <t>대</t>
        </is>
      </c>
      <c r="E3280" s="3" t="inlineStr">
        <is>
          <t>매매</t>
        </is>
      </c>
      <c r="F3280" s="4" t="n">
        <v>60000</v>
      </c>
      <c r="G3280" s="4" t="n">
        <v>294</v>
      </c>
      <c r="H3280" s="4" t="n">
        <v>89</v>
      </c>
      <c r="I3280" s="5" t="n">
        <v>674.2</v>
      </c>
      <c r="J3280" s="5" t="n">
        <v>376.9</v>
      </c>
      <c r="K3280" s="3" t="inlineStr">
        <is>
          <t>위치좋은 단독주택지, 직접보시면 더 좋아요</t>
        </is>
      </c>
      <c r="L3280" s="6">
        <f>HYPERLINK("https://fin.land.naver.com/articles/2654798480", "매물Link")</f>
        <v/>
      </c>
      <c r="M3280" s="6">
        <f>HYPERLINK("https://map.naver.com/p/search/한솔동 1201", "지도Link")</f>
        <v/>
      </c>
      <c r="N3280" s="6">
        <f>HYPERLINK("http://www.eum.go.kr/web/ar/lu/luLandDet.jsp?pnu=3611010600112010000&amp;isNoScr=script&amp;mode=search", "토지이음")</f>
        <v/>
      </c>
      <c r="O3280" s="3" t="inlineStr">
        <is>
          <t>리브</t>
        </is>
      </c>
      <c r="P3280" s="4" t="n">
        <v>1</v>
      </c>
      <c r="Q3280" s="4" t="n">
        <v>294.6</v>
      </c>
      <c r="R3280" s="3" t="inlineStr">
        <is>
          <t>지정되지않음</t>
        </is>
      </c>
      <c r="S3280" s="3" t="inlineStr">
        <is>
          <t>주거나지</t>
        </is>
      </c>
      <c r="T3280" s="3" t="inlineStr">
        <is>
          <t>평지</t>
        </is>
      </c>
      <c r="U3280" s="3" t="inlineStr">
        <is>
          <t>세로장방</t>
        </is>
      </c>
      <c r="V3280" s="3" t="inlineStr">
        <is>
          <t>소로한면</t>
        </is>
      </c>
    </row>
    <row r="3281">
      <c r="A3281" s="3" t="inlineStr">
        <is>
          <t>한솔동 1207</t>
        </is>
      </c>
      <c r="B3281" s="3" t="inlineStr">
        <is>
          <t>제1종전용주거지역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50000</v>
      </c>
      <c r="G3281" s="4" t="n">
        <v>329</v>
      </c>
      <c r="H3281" s="4" t="n">
        <v>100</v>
      </c>
      <c r="I3281" s="5" t="n">
        <v>500</v>
      </c>
      <c r="J3281" s="5" t="n">
        <v>376.9</v>
      </c>
      <c r="K3281" s="3" t="inlineStr">
        <is>
          <t>네모 반듯한 예쁜 토지 매매, 입지 굿</t>
        </is>
      </c>
      <c r="L3281" s="6">
        <f>HYPERLINK("https://fin.land.naver.com/articles/2650893847", "매물Link")</f>
        <v/>
      </c>
      <c r="M3281" s="6">
        <f>HYPERLINK("https://map.naver.com/p/search/한솔동 1207", "지도Link")</f>
        <v/>
      </c>
      <c r="N3281" s="6">
        <f>HYPERLINK("http://www.eum.go.kr/web/ar/lu/luLandDet.jsp?pnu=3611010600112070000&amp;isNoScr=script&amp;mode=search", "토지이음")</f>
        <v/>
      </c>
      <c r="O3281" s="3" t="inlineStr">
        <is>
          <t>세종무지개</t>
        </is>
      </c>
      <c r="P3281" s="4" t="n">
        <v>1</v>
      </c>
      <c r="Q3281" s="4" t="n">
        <v>329.5</v>
      </c>
      <c r="R3281" s="3" t="inlineStr">
        <is>
          <t>지정되지않음</t>
        </is>
      </c>
      <c r="S3281" s="3" t="inlineStr">
        <is>
          <t>주거나지</t>
        </is>
      </c>
      <c r="T3281" s="3" t="inlineStr">
        <is>
          <t>평지</t>
        </is>
      </c>
      <c r="U3281" s="3" t="inlineStr">
        <is>
          <t>세로장방</t>
        </is>
      </c>
      <c r="V3281" s="3" t="inlineStr">
        <is>
          <t>소로한면</t>
        </is>
      </c>
    </row>
    <row r="3282">
      <c r="A3282" s="3" t="inlineStr">
        <is>
          <t>한솔동 1207</t>
        </is>
      </c>
      <c r="B3282" s="3" t="inlineStr">
        <is>
          <t>제1종전용주거지역</t>
        </is>
      </c>
      <c r="C3282" s="3" t="inlineStr">
        <is>
          <t>대</t>
        </is>
      </c>
      <c r="D3282" s="3" t="inlineStr">
        <is>
          <t>대</t>
        </is>
      </c>
      <c r="E3282" s="3" t="inlineStr">
        <is>
          <t>매매</t>
        </is>
      </c>
      <c r="F3282" s="4" t="n">
        <v>50000</v>
      </c>
      <c r="G3282" s="4" t="n">
        <v>329</v>
      </c>
      <c r="H3282" s="4" t="n">
        <v>100</v>
      </c>
      <c r="I3282" s="5" t="n">
        <v>500</v>
      </c>
      <c r="J3282" s="5" t="n">
        <v>376.9</v>
      </c>
      <c r="K3282" s="3" t="inlineStr">
        <is>
          <t>총 99.8p, 조율가능, 네모반듯한 남향 예쁜 토지</t>
        </is>
      </c>
      <c r="L3282" s="6">
        <f>HYPERLINK("https://fin.land.naver.com/articles/2651947606", "매물Link")</f>
        <v/>
      </c>
      <c r="M3282" s="6">
        <f>HYPERLINK("https://map.naver.com/p/search/한솔동 1207", "지도Link")</f>
        <v/>
      </c>
      <c r="N3282" s="6">
        <f>HYPERLINK("http://www.eum.go.kr/web/ar/lu/luLandDet.jsp?pnu=3611010600112070000&amp;isNoScr=script&amp;mode=search", "토지이음")</f>
        <v/>
      </c>
      <c r="O3282" s="3" t="inlineStr">
        <is>
          <t>명진</t>
        </is>
      </c>
      <c r="P3282" s="4" t="n">
        <v>1</v>
      </c>
      <c r="Q3282" s="4" t="n">
        <v>329.5</v>
      </c>
      <c r="R3282" s="3" t="inlineStr">
        <is>
          <t>지정되지않음</t>
        </is>
      </c>
      <c r="S3282" s="3" t="inlineStr">
        <is>
          <t>주거나지</t>
        </is>
      </c>
      <c r="T3282" s="3" t="inlineStr">
        <is>
          <t>평지</t>
        </is>
      </c>
      <c r="U3282" s="3" t="inlineStr">
        <is>
          <t>세로장방</t>
        </is>
      </c>
      <c r="V3282" s="3" t="inlineStr">
        <is>
          <t>소로한면</t>
        </is>
      </c>
    </row>
    <row r="3283">
      <c r="A3283" s="3" t="inlineStr">
        <is>
          <t>한솔동 1208</t>
        </is>
      </c>
      <c r="B3283" s="3" t="inlineStr">
        <is>
          <t>제1종전용주거지역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45000</v>
      </c>
      <c r="G3283" s="4" t="n">
        <v>299</v>
      </c>
      <c r="H3283" s="4" t="n">
        <v>90</v>
      </c>
      <c r="I3283" s="5" t="n">
        <v>500</v>
      </c>
      <c r="J3283" s="5" t="n">
        <v>376.9</v>
      </c>
      <c r="K3283" s="3" t="inlineStr">
        <is>
          <t>nan</t>
        </is>
      </c>
      <c r="L3283" s="6">
        <f>HYPERLINK("https://fin.land.naver.com/articles/2654337391", "매물Link")</f>
        <v/>
      </c>
      <c r="M3283" s="6">
        <f>HYPERLINK("https://map.naver.com/p/search/한솔동 1208", "지도Link")</f>
        <v/>
      </c>
      <c r="N3283" s="6">
        <f>HYPERLINK("http://www.eum.go.kr/web/ar/lu/luLandDet.jsp?pnu=3611010600112080000&amp;isNoScr=script&amp;mode=search", "토지이음")</f>
        <v/>
      </c>
      <c r="O3283" s="3" t="inlineStr">
        <is>
          <t>봄마중</t>
        </is>
      </c>
      <c r="P3283" s="4" t="n">
        <v>1</v>
      </c>
      <c r="Q3283" s="4" t="n">
        <v>299.8</v>
      </c>
      <c r="R3283" s="3" t="inlineStr">
        <is>
          <t>지정되지않음</t>
        </is>
      </c>
      <c r="S3283" s="3" t="inlineStr">
        <is>
          <t>주거나지</t>
        </is>
      </c>
      <c r="T3283" s="3" t="inlineStr">
        <is>
          <t>평지</t>
        </is>
      </c>
      <c r="U3283" s="3" t="inlineStr">
        <is>
          <t>세로장방</t>
        </is>
      </c>
      <c r="V3283" s="3" t="inlineStr">
        <is>
          <t>소로한면</t>
        </is>
      </c>
    </row>
    <row r="3284">
      <c r="A3284" s="3" t="inlineStr">
        <is>
          <t>한솔동 1211</t>
        </is>
      </c>
      <c r="B3284" s="3" t="inlineStr">
        <is>
          <t>제1종전용주거지역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39000</v>
      </c>
      <c r="G3284" s="4" t="n">
        <v>323</v>
      </c>
      <c r="H3284" s="4" t="n">
        <v>98</v>
      </c>
      <c r="I3284" s="5" t="n">
        <v>398</v>
      </c>
      <c r="J3284" s="5" t="n">
        <v>373.6</v>
      </c>
      <c r="K3284" s="3" t="inlineStr">
        <is>
          <t>생활편리한 한솔동 단독주택지입니다.</t>
        </is>
      </c>
      <c r="L3284" s="6">
        <f>HYPERLINK("https://fin.land.naver.com/articles/2655008964", "매물Link")</f>
        <v/>
      </c>
      <c r="M3284" s="6">
        <f>HYPERLINK("https://map.naver.com/p/search/한솔동 1211", "지도Link")</f>
        <v/>
      </c>
      <c r="N3284" s="6">
        <f>HYPERLINK("http://www.eum.go.kr/web/ar/lu/luLandDet.jsp?pnu=3611010600112110000&amp;isNoScr=script&amp;mode=search", "토지이음")</f>
        <v/>
      </c>
      <c r="O3284" s="3" t="inlineStr">
        <is>
          <t>디아트성심</t>
        </is>
      </c>
      <c r="P3284" s="4" t="n">
        <v>1</v>
      </c>
      <c r="Q3284" s="4" t="n">
        <v>323</v>
      </c>
      <c r="R3284" s="3" t="inlineStr">
        <is>
          <t>지정되지않음</t>
        </is>
      </c>
      <c r="S3284" s="3" t="inlineStr">
        <is>
          <t>주거나지</t>
        </is>
      </c>
      <c r="T3284" s="3" t="inlineStr">
        <is>
          <t>평지</t>
        </is>
      </c>
      <c r="U3284" s="3" t="inlineStr">
        <is>
          <t>정방형</t>
        </is>
      </c>
      <c r="V3284" s="3" t="inlineStr">
        <is>
          <t>소로한면</t>
        </is>
      </c>
    </row>
    <row r="3285">
      <c r="A3285" s="3" t="inlineStr">
        <is>
          <t>한솔동 865</t>
        </is>
      </c>
      <c r="B3285" s="3" t="inlineStr">
        <is>
          <t>제1종전용주거지역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80000</v>
      </c>
      <c r="G3285" s="4" t="n">
        <v>353</v>
      </c>
      <c r="H3285" s="4" t="n">
        <v>107</v>
      </c>
      <c r="I3285" s="5" t="n">
        <v>747.7</v>
      </c>
      <c r="J3285" s="5" t="n">
        <v>403</v>
      </c>
      <c r="K3285" s="3" t="inlineStr">
        <is>
          <t>총 107.1p, 한솔동 단독주택지</t>
        </is>
      </c>
      <c r="L3285" s="6">
        <f>HYPERLINK("https://fin.land.naver.com/articles/2653682654", "매물Link")</f>
        <v/>
      </c>
      <c r="M3285" s="6">
        <f>HYPERLINK("https://map.naver.com/p/search/한솔동 865", "지도Link")</f>
        <v/>
      </c>
      <c r="N3285" s="6">
        <f>HYPERLINK("http://www.eum.go.kr/web/ar/lu/luLandDet.jsp?pnu=3611010600108650000&amp;isNoScr=script&amp;mode=search", "토지이음")</f>
        <v/>
      </c>
      <c r="O3285" s="3" t="inlineStr">
        <is>
          <t>명진</t>
        </is>
      </c>
      <c r="P3285" s="4" t="n">
        <v>1</v>
      </c>
      <c r="Q3285" s="4" t="n">
        <v>353.4</v>
      </c>
      <c r="R3285" s="3" t="inlineStr">
        <is>
          <t>지정되지않음</t>
        </is>
      </c>
      <c r="S3285" s="3" t="inlineStr">
        <is>
          <t>주거나지</t>
        </is>
      </c>
      <c r="T3285" s="3" t="inlineStr">
        <is>
          <t>평지</t>
        </is>
      </c>
      <c r="U3285" s="3" t="inlineStr">
        <is>
          <t>사다리형</t>
        </is>
      </c>
      <c r="V3285" s="3" t="inlineStr">
        <is>
          <t>소로한면</t>
        </is>
      </c>
    </row>
    <row r="3286">
      <c r="A3286" s="3" t="inlineStr">
        <is>
          <t>한솔동 865</t>
        </is>
      </c>
      <c r="B3286" s="3" t="inlineStr">
        <is>
          <t>제1종전용주거지역</t>
        </is>
      </c>
      <c r="C3286" s="3" t="inlineStr">
        <is>
          <t>대</t>
        </is>
      </c>
      <c r="D3286" s="3" t="inlineStr">
        <is>
          <t>대</t>
        </is>
      </c>
      <c r="E3286" s="3" t="inlineStr">
        <is>
          <t>매매</t>
        </is>
      </c>
      <c r="F3286" s="4" t="n">
        <v>80000</v>
      </c>
      <c r="G3286" s="4" t="n">
        <v>352</v>
      </c>
      <c r="H3286" s="4" t="n">
        <v>106</v>
      </c>
      <c r="I3286" s="5" t="n">
        <v>754.7</v>
      </c>
      <c r="J3286" s="5" t="n">
        <v>403</v>
      </c>
      <c r="K3286" s="3" t="inlineStr">
        <is>
          <t>공원 인근, 조용한고 편리한 단독주택지 토지매매</t>
        </is>
      </c>
      <c r="L3286" s="6">
        <f>HYPERLINK("https://fin.land.naver.com/articles/2656263615", "매물Link")</f>
        <v/>
      </c>
      <c r="M3286" s="6">
        <f>HYPERLINK("https://map.naver.com/p/search/한솔동 865", "지도Link")</f>
        <v/>
      </c>
      <c r="N3286" s="6">
        <f>HYPERLINK("http://www.eum.go.kr/web/ar/lu/luLandDet.jsp?pnu=3611010600108650000&amp;isNoScr=script&amp;mode=search", "토지이음")</f>
        <v/>
      </c>
      <c r="O3286" s="3" t="inlineStr">
        <is>
          <t>세종무지개</t>
        </is>
      </c>
      <c r="P3286" s="4" t="n">
        <v>1</v>
      </c>
      <c r="Q3286" s="4" t="n">
        <v>353.4</v>
      </c>
      <c r="R3286" s="3" t="inlineStr">
        <is>
          <t>지정되지않음</t>
        </is>
      </c>
      <c r="S3286" s="3" t="inlineStr">
        <is>
          <t>주거나지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소로한면</t>
        </is>
      </c>
    </row>
    <row r="3287">
      <c r="A3287" s="3" t="inlineStr">
        <is>
          <t>한솔동 865</t>
        </is>
      </c>
      <c r="B3287" s="3" t="inlineStr">
        <is>
          <t>제1종전용주거지역</t>
        </is>
      </c>
      <c r="C3287" s="3" t="inlineStr">
        <is>
          <t>대</t>
        </is>
      </c>
      <c r="D3287" s="3" t="inlineStr">
        <is>
          <t>대</t>
        </is>
      </c>
      <c r="E3287" s="3" t="inlineStr">
        <is>
          <t>매매</t>
        </is>
      </c>
      <c r="F3287" s="4" t="n">
        <v>80000</v>
      </c>
      <c r="G3287" s="4" t="n">
        <v>353</v>
      </c>
      <c r="H3287" s="4" t="n">
        <v>107</v>
      </c>
      <c r="I3287" s="5" t="n">
        <v>747.7</v>
      </c>
      <c r="J3287" s="5" t="n">
        <v>403</v>
      </c>
      <c r="K3287" s="3" t="inlineStr">
        <is>
          <t>nan</t>
        </is>
      </c>
      <c r="L3287" s="6">
        <f>HYPERLINK("https://fin.land.naver.com/articles/2655007350", "매물Link")</f>
        <v/>
      </c>
      <c r="M3287" s="6">
        <f>HYPERLINK("https://map.naver.com/p/search/한솔동 865", "지도Link")</f>
        <v/>
      </c>
      <c r="N3287" s="6">
        <f>HYPERLINK("http://www.eum.go.kr/web/ar/lu/luLandDet.jsp?pnu=3611010600108650000&amp;isNoScr=script&amp;mode=search", "토지이음")</f>
        <v/>
      </c>
      <c r="O3287" s="3" t="inlineStr">
        <is>
          <t>디아트성심</t>
        </is>
      </c>
      <c r="P3287" s="4" t="n">
        <v>1</v>
      </c>
      <c r="Q3287" s="4" t="n">
        <v>353.4</v>
      </c>
      <c r="R3287" s="3" t="inlineStr">
        <is>
          <t>지정되지않음</t>
        </is>
      </c>
      <c r="S3287" s="3" t="inlineStr">
        <is>
          <t>주거나지</t>
        </is>
      </c>
      <c r="T3287" s="3" t="inlineStr">
        <is>
          <t>평지</t>
        </is>
      </c>
      <c r="U3287" s="3" t="inlineStr">
        <is>
          <t>사다리형</t>
        </is>
      </c>
      <c r="V3287" s="3" t="inlineStr">
        <is>
          <t>소로한면</t>
        </is>
      </c>
    </row>
    <row r="3288">
      <c r="A3288" s="3" t="inlineStr">
        <is>
          <t>한솔동 865</t>
        </is>
      </c>
      <c r="B3288" s="3" t="inlineStr">
        <is>
          <t>제1종전용주거지역</t>
        </is>
      </c>
      <c r="C3288" s="3" t="inlineStr">
        <is>
          <t>대</t>
        </is>
      </c>
      <c r="D3288" s="3" t="inlineStr">
        <is>
          <t>대</t>
        </is>
      </c>
      <c r="E3288" s="3" t="inlineStr">
        <is>
          <t>매매</t>
        </is>
      </c>
      <c r="F3288" s="4" t="n">
        <v>80000</v>
      </c>
      <c r="G3288" s="4" t="n">
        <v>353</v>
      </c>
      <c r="H3288" s="4" t="n">
        <v>107</v>
      </c>
      <c r="I3288" s="5" t="n">
        <v>747.7</v>
      </c>
      <c r="J3288" s="5" t="n">
        <v>403</v>
      </c>
      <c r="K3288" s="3" t="inlineStr">
        <is>
          <t>세종시 한솔동 도심속 전원주택부지 매매</t>
        </is>
      </c>
      <c r="L3288" s="6">
        <f>HYPERLINK("https://fin.land.naver.com/articles/2651763249", "매물Link")</f>
        <v/>
      </c>
      <c r="M3288" s="6">
        <f>HYPERLINK("https://map.naver.com/p/search/한솔동 865", "지도Link")</f>
        <v/>
      </c>
      <c r="N3288" s="6">
        <f>HYPERLINK("http://www.eum.go.kr/web/ar/lu/luLandDet.jsp?pnu=3611010600108650000&amp;isNoScr=script&amp;mode=search", "토지이음")</f>
        <v/>
      </c>
      <c r="O3288" s="3" t="inlineStr">
        <is>
          <t>전원</t>
        </is>
      </c>
      <c r="P3288" s="4" t="n">
        <v>2</v>
      </c>
      <c r="Q3288" s="4" t="n">
        <v>353.4</v>
      </c>
      <c r="R3288" s="3" t="inlineStr">
        <is>
          <t>지정되지않음</t>
        </is>
      </c>
      <c r="S3288" s="3" t="inlineStr">
        <is>
          <t>주거나지</t>
        </is>
      </c>
      <c r="T3288" s="3" t="inlineStr">
        <is>
          <t>평지</t>
        </is>
      </c>
      <c r="U3288" s="3" t="inlineStr">
        <is>
          <t>사다리형</t>
        </is>
      </c>
      <c r="V3288" s="3" t="inlineStr">
        <is>
          <t>소로한면</t>
        </is>
      </c>
    </row>
    <row r="3289">
      <c r="A3289" s="3" t="inlineStr">
        <is>
          <t>한솔동 874</t>
        </is>
      </c>
      <c r="B3289" s="3" t="inlineStr">
        <is>
          <t>제1종전용주거지역</t>
        </is>
      </c>
      <c r="C3289" s="3" t="inlineStr">
        <is>
          <t>대</t>
        </is>
      </c>
      <c r="D3289" s="3" t="inlineStr">
        <is>
          <t>대</t>
        </is>
      </c>
      <c r="E3289" s="3" t="inlineStr">
        <is>
          <t>매매</t>
        </is>
      </c>
      <c r="F3289" s="4" t="n">
        <v>62000</v>
      </c>
      <c r="G3289" s="4" t="n">
        <v>304</v>
      </c>
      <c r="H3289" s="4" t="n">
        <v>92</v>
      </c>
      <c r="I3289" s="5" t="n">
        <v>673.9</v>
      </c>
      <c r="J3289" s="5" t="n">
        <v>394.7</v>
      </c>
      <c r="K3289" s="3" t="inlineStr">
        <is>
          <t>nan</t>
        </is>
      </c>
      <c r="L3289" s="6">
        <f>HYPERLINK("https://fin.land.naver.com/articles/2655009445", "매물Link")</f>
        <v/>
      </c>
      <c r="M3289" s="6">
        <f>HYPERLINK("https://map.naver.com/p/search/한솔동 874", "지도Link")</f>
        <v/>
      </c>
      <c r="N3289" s="6">
        <f>HYPERLINK("http://www.eum.go.kr/web/ar/lu/luLandDet.jsp?pnu=3611010600108740000&amp;isNoScr=script&amp;mode=search", "토지이음")</f>
        <v/>
      </c>
      <c r="O3289" s="3" t="inlineStr">
        <is>
          <t>디아트성심</t>
        </is>
      </c>
      <c r="P3289" s="4" t="n">
        <v>1</v>
      </c>
      <c r="Q3289" s="4" t="n">
        <v>325.8</v>
      </c>
      <c r="R3289" s="3" t="inlineStr">
        <is>
          <t>지정되지않음</t>
        </is>
      </c>
      <c r="S3289" s="3" t="inlineStr">
        <is>
          <t>주거나지</t>
        </is>
      </c>
      <c r="T3289" s="3" t="inlineStr">
        <is>
          <t>평지</t>
        </is>
      </c>
      <c r="U3289" s="3" t="inlineStr">
        <is>
          <t>부정형</t>
        </is>
      </c>
      <c r="V3289" s="3" t="inlineStr">
        <is>
          <t>소로한면</t>
        </is>
      </c>
    </row>
    <row r="3290">
      <c r="A3290" s="3" t="inlineStr">
        <is>
          <t>한솔동 877</t>
        </is>
      </c>
      <c r="B3290" s="3" t="inlineStr">
        <is>
          <t>제1종전용주거지역</t>
        </is>
      </c>
      <c r="C3290" s="3" t="inlineStr">
        <is>
          <t>대</t>
        </is>
      </c>
      <c r="D3290" s="3" t="inlineStr">
        <is>
          <t>대</t>
        </is>
      </c>
      <c r="E3290" s="3" t="inlineStr">
        <is>
          <t>매매</t>
        </is>
      </c>
      <c r="F3290" s="4" t="n">
        <v>61000</v>
      </c>
      <c r="G3290" s="4" t="n">
        <v>326</v>
      </c>
      <c r="H3290" s="4" t="n">
        <v>99</v>
      </c>
      <c r="I3290" s="5" t="n">
        <v>616.2</v>
      </c>
      <c r="J3290" s="5" t="n">
        <v>394.7</v>
      </c>
      <c r="K3290" s="3" t="inlineStr">
        <is>
          <t>nan</t>
        </is>
      </c>
      <c r="L3290" s="6">
        <f>HYPERLINK("https://fin.land.naver.com/articles/2655011453", "매물Link")</f>
        <v/>
      </c>
      <c r="M3290" s="6">
        <f>HYPERLINK("https://map.naver.com/p/search/한솔동 877", "지도Link")</f>
        <v/>
      </c>
      <c r="N3290" s="6">
        <f>HYPERLINK("http://www.eum.go.kr/web/ar/lu/luLandDet.jsp?pnu=3611010600108770000&amp;isNoScr=script&amp;mode=search", "토지이음")</f>
        <v/>
      </c>
      <c r="O3290" s="3" t="inlineStr">
        <is>
          <t>디아트성심</t>
        </is>
      </c>
      <c r="P3290" s="4" t="n">
        <v>1</v>
      </c>
      <c r="Q3290" s="4" t="n">
        <v>326.5</v>
      </c>
      <c r="R3290" s="3" t="inlineStr">
        <is>
          <t>지정되지않음</t>
        </is>
      </c>
      <c r="S3290" s="3" t="inlineStr">
        <is>
          <t>주거나지</t>
        </is>
      </c>
      <c r="T3290" s="3" t="inlineStr">
        <is>
          <t>평지</t>
        </is>
      </c>
      <c r="U3290" s="3" t="inlineStr">
        <is>
          <t>부정형</t>
        </is>
      </c>
      <c r="V3290" s="3" t="inlineStr">
        <is>
          <t>소로한면</t>
        </is>
      </c>
    </row>
    <row r="3291">
      <c r="A3291" s="3" t="inlineStr">
        <is>
          <t>한솔동 885</t>
        </is>
      </c>
      <c r="B3291" s="3" t="inlineStr">
        <is>
          <t>제1종전용주거지역</t>
        </is>
      </c>
      <c r="C3291" s="3" t="inlineStr">
        <is>
          <t>대</t>
        </is>
      </c>
      <c r="D3291" s="3" t="inlineStr">
        <is>
          <t>대</t>
        </is>
      </c>
      <c r="E3291" s="3" t="inlineStr">
        <is>
          <t>매매</t>
        </is>
      </c>
      <c r="F3291" s="4" t="n">
        <v>57000</v>
      </c>
      <c r="G3291" s="4" t="n">
        <v>292</v>
      </c>
      <c r="H3291" s="4" t="n">
        <v>88</v>
      </c>
      <c r="I3291" s="5" t="n">
        <v>647.7</v>
      </c>
      <c r="J3291" s="5" t="n">
        <v>410.9</v>
      </c>
      <c r="K3291" s="3" t="inlineStr">
        <is>
          <t>D1 귀한매물 새롬동학원가도보 조율가능</t>
        </is>
      </c>
      <c r="L3291" s="6">
        <f>HYPERLINK("https://fin.land.naver.com/articles/2652410283", "매물Link")</f>
        <v/>
      </c>
      <c r="M3291" s="6">
        <f>HYPERLINK("https://map.naver.com/p/search/한솔동 885", "지도Link")</f>
        <v/>
      </c>
      <c r="N3291" s="6">
        <f>HYPERLINK("http://www.eum.go.kr/web/ar/lu/luLandDet.jsp?pnu=3611010600108850000&amp;isNoScr=script&amp;mode=search", "토지이음")</f>
        <v/>
      </c>
      <c r="O3291" s="3" t="inlineStr">
        <is>
          <t>세종스타</t>
        </is>
      </c>
      <c r="P3291" s="4" t="n">
        <v>1</v>
      </c>
      <c r="Q3291" s="4" t="n">
        <v>292.2</v>
      </c>
      <c r="R3291" s="3" t="inlineStr">
        <is>
          <t>지정되지않음</t>
        </is>
      </c>
      <c r="S3291" s="3" t="inlineStr">
        <is>
          <t>주거나지</t>
        </is>
      </c>
      <c r="T3291" s="3" t="inlineStr">
        <is>
          <t>평지</t>
        </is>
      </c>
      <c r="U3291" s="3" t="inlineStr">
        <is>
          <t>세로장방</t>
        </is>
      </c>
      <c r="V3291" s="3" t="inlineStr">
        <is>
          <t>소로한면</t>
        </is>
      </c>
    </row>
    <row r="3292">
      <c r="A3292" s="3" t="inlineStr">
        <is>
          <t>한솔동 967</t>
        </is>
      </c>
      <c r="B3292" s="3" t="inlineStr">
        <is>
          <t>준주거지역</t>
        </is>
      </c>
      <c r="C3292" s="3" t="inlineStr">
        <is>
          <t>주차장</t>
        </is>
      </c>
      <c r="D3292" s="3" t="inlineStr">
        <is>
          <t>주차장</t>
        </is>
      </c>
      <c r="E3292" s="3" t="inlineStr">
        <is>
          <t>매매</t>
        </is>
      </c>
      <c r="F3292" s="4" t="n">
        <v>580000</v>
      </c>
      <c r="G3292" s="4" t="n">
        <v>1407</v>
      </c>
      <c r="H3292" s="4" t="n">
        <v>426</v>
      </c>
      <c r="I3292" s="5" t="n">
        <v>1361.5</v>
      </c>
      <c r="J3292" s="5" t="n">
        <v>741.2</v>
      </c>
      <c r="K3292" s="3" t="inlineStr">
        <is>
          <t>세종 첫마을 넓은 주차장으로 대형마트나 고급 식당 사옥 추천 드립니다</t>
        </is>
      </c>
      <c r="L3292" s="6">
        <f>HYPERLINK("https://fin.land.naver.com/articles/2652035481", "매물Link")</f>
        <v/>
      </c>
      <c r="M3292" s="6">
        <f>HYPERLINK("https://map.naver.com/p/search/한솔동 967", "지도Link")</f>
        <v/>
      </c>
      <c r="N3292" s="6">
        <f>HYPERLINK("http://www.eum.go.kr/web/ar/lu/luLandDet.jsp?pnu=3611010600109670000&amp;isNoScr=script&amp;mode=search", "토지이음")</f>
        <v/>
      </c>
      <c r="O3292" s="3" t="inlineStr">
        <is>
          <t>자이행복</t>
        </is>
      </c>
      <c r="P3292" s="4" t="n">
        <v>1</v>
      </c>
      <c r="Q3292" s="4" t="n">
        <v>1407</v>
      </c>
      <c r="R3292" s="3" t="inlineStr">
        <is>
          <t>지정되지않음</t>
        </is>
      </c>
      <c r="S3292" s="3" t="inlineStr">
        <is>
          <t>주차장등</t>
        </is>
      </c>
      <c r="T3292" s="3" t="inlineStr">
        <is>
          <t>평지</t>
        </is>
      </c>
      <c r="U3292" s="3" t="inlineStr">
        <is>
          <t>가로장방</t>
        </is>
      </c>
      <c r="V3292" s="3" t="inlineStr">
        <is>
          <t>중로한면</t>
        </is>
      </c>
    </row>
    <row r="3293">
      <c r="A3293" s="3" t="inlineStr">
        <is>
          <t>한솔동 989</t>
        </is>
      </c>
      <c r="B3293" s="3" t="inlineStr">
        <is>
          <t>제1종전용주거지역</t>
        </is>
      </c>
      <c r="C3293" s="3" t="inlineStr">
        <is>
          <t>대</t>
        </is>
      </c>
      <c r="D3293" s="3" t="inlineStr">
        <is>
          <t>대</t>
        </is>
      </c>
      <c r="E3293" s="3" t="inlineStr">
        <is>
          <t>매매</t>
        </is>
      </c>
      <c r="F3293" s="4" t="n">
        <v>55000</v>
      </c>
      <c r="G3293" s="4" t="n">
        <v>326</v>
      </c>
      <c r="H3293" s="4" t="n">
        <v>99</v>
      </c>
      <c r="I3293" s="5" t="n">
        <v>555.6</v>
      </c>
      <c r="J3293" s="5" t="n">
        <v>302.8</v>
      </c>
      <c r="K3293" s="3" t="inlineStr">
        <is>
          <t>생활 인프라가 완비된 2생활권 내 희소성 높은 알짜 토지.</t>
        </is>
      </c>
      <c r="L3293" s="6">
        <f>HYPERLINK("https://fin.land.naver.com/articles/2654570640", "매물Link")</f>
        <v/>
      </c>
      <c r="M3293" s="6">
        <f>HYPERLINK("https://map.naver.com/p/search/한솔동 989", "지도Link")</f>
        <v/>
      </c>
      <c r="N3293" s="6">
        <f>HYPERLINK("http://www.eum.go.kr/web/ar/lu/luLandDet.jsp?pnu=3611010600109890000&amp;isNoScr=script&amp;mode=search", "토지이음")</f>
        <v/>
      </c>
      <c r="O3293" s="3" t="inlineStr">
        <is>
          <t>이룸</t>
        </is>
      </c>
      <c r="P3293" s="4" t="n">
        <v>1</v>
      </c>
      <c r="Q3293" s="4" t="n">
        <v>326</v>
      </c>
      <c r="R3293" s="3" t="inlineStr">
        <is>
          <t>지정되지않음</t>
        </is>
      </c>
      <c r="S3293" s="3" t="inlineStr">
        <is>
          <t>주거나지</t>
        </is>
      </c>
      <c r="T3293" s="3" t="inlineStr">
        <is>
          <t>평지</t>
        </is>
      </c>
      <c r="U3293" s="3" t="inlineStr">
        <is>
          <t>세로장방</t>
        </is>
      </c>
      <c r="V3293" s="3" t="inlineStr">
        <is>
          <t>소로한면</t>
        </is>
      </c>
    </row>
    <row r="3294">
      <c r="A3294" s="3" t="inlineStr">
        <is>
          <t>한솔동 992</t>
        </is>
      </c>
      <c r="B3294" s="3" t="inlineStr">
        <is>
          <t>제1종전용주거지역</t>
        </is>
      </c>
      <c r="C3294" s="3" t="inlineStr">
        <is>
          <t>대</t>
        </is>
      </c>
      <c r="D3294" s="3" t="inlineStr">
        <is>
          <t>대</t>
        </is>
      </c>
      <c r="E3294" s="3" t="inlineStr">
        <is>
          <t>매매</t>
        </is>
      </c>
      <c r="F3294" s="4" t="n">
        <v>55000</v>
      </c>
      <c r="G3294" s="4" t="n">
        <v>355</v>
      </c>
      <c r="H3294" s="4" t="n">
        <v>107</v>
      </c>
      <c r="I3294" s="5" t="n">
        <v>514</v>
      </c>
      <c r="J3294" s="5" t="n">
        <v>314.9</v>
      </c>
      <c r="K3294" s="3" t="inlineStr">
        <is>
          <t>조율가능 공원낀위치 상권최인접 한솔초중고 도보5분</t>
        </is>
      </c>
      <c r="L3294" s="6">
        <f>HYPERLINK("https://fin.land.naver.com/articles/2653667235", "매물Link")</f>
        <v/>
      </c>
      <c r="M3294" s="6">
        <f>HYPERLINK("https://map.naver.com/p/search/한솔동 992", "지도Link")</f>
        <v/>
      </c>
      <c r="N3294" s="6">
        <f>HYPERLINK("http://www.eum.go.kr/web/ar/lu/luLandDet.jsp?pnu=3611010600109920000&amp;isNoScr=script&amp;mode=search", "토지이음")</f>
        <v/>
      </c>
      <c r="O3294" s="3" t="inlineStr">
        <is>
          <t>세종스타</t>
        </is>
      </c>
      <c r="P3294" s="4" t="n">
        <v>1</v>
      </c>
      <c r="Q3294" s="4" t="n">
        <v>355</v>
      </c>
      <c r="R3294" s="3" t="inlineStr">
        <is>
          <t>지정되지않음</t>
        </is>
      </c>
      <c r="S3294" s="3" t="inlineStr">
        <is>
          <t>주거나지</t>
        </is>
      </c>
      <c r="T3294" s="3" t="inlineStr">
        <is>
          <t>평지</t>
        </is>
      </c>
      <c r="U3294" s="3" t="inlineStr">
        <is>
          <t>정방형</t>
        </is>
      </c>
      <c r="V3294" s="3" t="inlineStr">
        <is>
          <t>소로각지</t>
        </is>
      </c>
    </row>
    <row r="3295">
      <c r="A3295" s="3" t="inlineStr">
        <is>
          <t>해밀동 668</t>
        </is>
      </c>
      <c r="B3295" s="3" t="inlineStr">
        <is>
          <t>제2종일반주거지역</t>
        </is>
      </c>
      <c r="C3295" s="3" t="inlineStr">
        <is>
          <t>대</t>
        </is>
      </c>
      <c r="D3295" s="3" t="inlineStr">
        <is>
          <t>대</t>
        </is>
      </c>
      <c r="E3295" s="3" t="inlineStr">
        <is>
          <t>매매</t>
        </is>
      </c>
      <c r="F3295" s="4" t="n">
        <v>360000</v>
      </c>
      <c r="G3295" s="4" t="n">
        <v>1070</v>
      </c>
      <c r="H3295" s="4" t="n">
        <v>324</v>
      </c>
      <c r="I3295" s="5" t="n">
        <v>1111.1</v>
      </c>
      <c r="J3295" s="5" t="n">
        <v>407.6</v>
      </c>
      <c r="K3295" s="3" t="inlineStr">
        <is>
          <t>급매 대형 상가건물 부지 추가조율협의 옆필지도 매매가능</t>
        </is>
      </c>
      <c r="L3295" s="6">
        <f>HYPERLINK("https://fin.land.naver.com/articles/2656025921", "매물Link")</f>
        <v/>
      </c>
      <c r="M3295" s="6">
        <f>HYPERLINK("https://map.naver.com/p/search/해밀동 668", "지도Link")</f>
        <v/>
      </c>
      <c r="N3295" s="6">
        <f>HYPERLINK("http://www.eum.go.kr/web/ar/lu/luLandDet.jsp?pnu=3611011600106680000&amp;isNoScr=script&amp;mode=search", "토지이음")</f>
        <v/>
      </c>
      <c r="O3295" s="3" t="inlineStr">
        <is>
          <t>세종스타</t>
        </is>
      </c>
      <c r="P3295" s="4" t="n">
        <v>1</v>
      </c>
      <c r="Q3295" s="4" t="n">
        <v>1070.9</v>
      </c>
      <c r="R3295" s="3" t="inlineStr">
        <is>
          <t>지정되지않음</t>
        </is>
      </c>
      <c r="S3295" s="3" t="inlineStr">
        <is>
          <t>상업나지</t>
        </is>
      </c>
      <c r="T3295" s="3" t="inlineStr">
        <is>
          <t>평지</t>
        </is>
      </c>
      <c r="U3295" s="3" t="inlineStr">
        <is>
          <t>가로장방</t>
        </is>
      </c>
      <c r="V3295" s="3" t="inlineStr">
        <is>
          <t>광대소각</t>
        </is>
      </c>
    </row>
    <row r="3296">
      <c r="A3296" s="3" t="inlineStr">
        <is>
          <t>해밀동 678</t>
        </is>
      </c>
      <c r="B3296" s="3" t="inlineStr">
        <is>
          <t>제2종일반주거지역</t>
        </is>
      </c>
      <c r="C3296" s="3" t="inlineStr">
        <is>
          <t>대</t>
        </is>
      </c>
      <c r="D3296" s="3" t="inlineStr">
        <is>
          <t>대</t>
        </is>
      </c>
      <c r="E3296" s="3" t="inlineStr">
        <is>
          <t>매매</t>
        </is>
      </c>
      <c r="F3296" s="4" t="n">
        <v>155000</v>
      </c>
      <c r="G3296" s="4" t="n">
        <v>446</v>
      </c>
      <c r="H3296" s="4" t="n">
        <v>135</v>
      </c>
      <c r="I3296" s="5" t="n">
        <v>1148.1</v>
      </c>
      <c r="J3296" s="5" t="n">
        <v>379.2</v>
      </c>
      <c r="K3296" s="3" t="inlineStr">
        <is>
          <t>조율가능 N4 코너각지 3층건축가능 사옥 음식점 카페 애견샵 추천</t>
        </is>
      </c>
      <c r="L3296" s="6">
        <f>HYPERLINK("https://fin.land.naver.com/articles/2652136712", "매물Link")</f>
        <v/>
      </c>
      <c r="M3296" s="6">
        <f>HYPERLINK("https://map.naver.com/p/search/해밀동 678", "지도Link")</f>
        <v/>
      </c>
      <c r="N3296" s="6">
        <f>HYPERLINK("http://www.eum.go.kr/web/ar/lu/luLandDet.jsp?pnu=3611011600106780000&amp;isNoScr=script&amp;mode=search", "토지이음")</f>
        <v/>
      </c>
      <c r="O3296" s="3" t="inlineStr">
        <is>
          <t>세종스타</t>
        </is>
      </c>
      <c r="P3296" s="4" t="n">
        <v>1</v>
      </c>
      <c r="Q3296" s="4" t="n">
        <v>446.4</v>
      </c>
      <c r="R3296" s="3" t="inlineStr">
        <is>
          <t>지정되지않음</t>
        </is>
      </c>
      <c r="S3296" s="3" t="inlineStr">
        <is>
          <t>상업나지</t>
        </is>
      </c>
      <c r="T3296" s="3" t="inlineStr">
        <is>
          <t>평지</t>
        </is>
      </c>
      <c r="U3296" s="3" t="inlineStr">
        <is>
          <t>사다리형</t>
        </is>
      </c>
      <c r="V3296" s="3" t="inlineStr">
        <is>
          <t>중로한면</t>
        </is>
      </c>
    </row>
    <row r="3297">
      <c r="A3297" s="3" t="inlineStr">
        <is>
          <t>해밀동 687</t>
        </is>
      </c>
      <c r="B3297" s="3" t="inlineStr">
        <is>
          <t>제2종일반주거지역</t>
        </is>
      </c>
      <c r="C3297" s="3" t="inlineStr">
        <is>
          <t>대</t>
        </is>
      </c>
      <c r="D3297" s="3" t="inlineStr">
        <is>
          <t>대</t>
        </is>
      </c>
      <c r="E3297" s="3" t="inlineStr">
        <is>
          <t>매매</t>
        </is>
      </c>
      <c r="F3297" s="4" t="n">
        <v>145000</v>
      </c>
      <c r="G3297" s="4" t="n">
        <v>403</v>
      </c>
      <c r="H3297" s="4" t="n">
        <v>122</v>
      </c>
      <c r="I3297" s="5" t="n">
        <v>1188.5</v>
      </c>
      <c r="J3297" s="5" t="n">
        <v>383.1</v>
      </c>
      <c r="K3297" s="3" t="inlineStr">
        <is>
          <t>N5 근생부지 3층건축가능</t>
        </is>
      </c>
      <c r="L3297" s="6">
        <f>HYPERLINK("https://fin.land.naver.com/articles/2653666438", "매물Link")</f>
        <v/>
      </c>
      <c r="M3297" s="6">
        <f>HYPERLINK("https://map.naver.com/p/search/해밀동 687", "지도Link")</f>
        <v/>
      </c>
      <c r="N3297" s="6">
        <f>HYPERLINK("http://www.eum.go.kr/web/ar/lu/luLandDet.jsp?pnu=3611011600106870000&amp;isNoScr=script&amp;mode=search", "토지이음")</f>
        <v/>
      </c>
      <c r="O3297" s="3" t="inlineStr">
        <is>
          <t>세종스타</t>
        </is>
      </c>
      <c r="P3297" s="4" t="n">
        <v>1</v>
      </c>
      <c r="Q3297" s="4" t="n">
        <v>403.2</v>
      </c>
      <c r="R3297" s="3" t="inlineStr">
        <is>
          <t>지정되지않음</t>
        </is>
      </c>
      <c r="S3297" s="3" t="inlineStr">
        <is>
          <t>상업나지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중로한면</t>
        </is>
      </c>
    </row>
    <row r="3298">
      <c r="A3298" s="3" t="inlineStr">
        <is>
          <t>해밀동 700</t>
        </is>
      </c>
      <c r="B3298" s="3" t="inlineStr">
        <is>
          <t>제1종전용주거지역</t>
        </is>
      </c>
      <c r="C3298" s="3" t="inlineStr">
        <is>
          <t>대</t>
        </is>
      </c>
      <c r="D3298" s="3" t="inlineStr">
        <is>
          <t>대</t>
        </is>
      </c>
      <c r="E3298" s="3" t="inlineStr">
        <is>
          <t>매매</t>
        </is>
      </c>
      <c r="F3298" s="4" t="n">
        <v>401300</v>
      </c>
      <c r="G3298" s="4" t="n">
        <v>2949</v>
      </c>
      <c r="H3298" s="4" t="n">
        <v>892</v>
      </c>
      <c r="I3298" s="5" t="n">
        <v>449.9</v>
      </c>
      <c r="J3298" s="5" t="n">
        <v>219.8</v>
      </c>
      <c r="K3298" s="3" t="inlineStr">
        <is>
          <t>해밀동 제1종전용주거 타운하우스 부지, 15가구 개발가능</t>
        </is>
      </c>
      <c r="L3298" s="6">
        <f>HYPERLINK("https://fin.land.naver.com/articles/2654022827", "매물Link")</f>
        <v/>
      </c>
      <c r="M3298" s="6">
        <f>HYPERLINK("https://map.naver.com/p/search/해밀동 700", "지도Link")</f>
        <v/>
      </c>
      <c r="N3298" s="6">
        <f>HYPERLINK("http://www.eum.go.kr/web/ar/lu/luLandDet.jsp?pnu=3611011600107000000&amp;isNoScr=script&amp;mode=search", "토지이음")</f>
        <v/>
      </c>
      <c r="O3298" s="3" t="inlineStr">
        <is>
          <t>스카이</t>
        </is>
      </c>
      <c r="P3298" s="4" t="n">
        <v>1</v>
      </c>
      <c r="Q3298" s="4" t="n">
        <v>2948.1</v>
      </c>
      <c r="R3298" s="3" t="inlineStr">
        <is>
          <t>지정되지않음</t>
        </is>
      </c>
      <c r="S3298" s="3" t="inlineStr">
        <is>
          <t>주거나지</t>
        </is>
      </c>
      <c r="T3298" s="3" t="inlineStr">
        <is>
          <t>평지</t>
        </is>
      </c>
      <c r="U3298" s="3" t="inlineStr">
        <is>
          <t>사다리형</t>
        </is>
      </c>
      <c r="V3298" s="3" t="inlineStr">
        <is>
          <t>소로한면</t>
        </is>
      </c>
    </row>
    <row r="3299">
      <c r="A3299" s="3" t="inlineStr">
        <is>
          <t>해밀동 702</t>
        </is>
      </c>
      <c r="B3299" s="3" t="inlineStr">
        <is>
          <t>제1종전용주거지역</t>
        </is>
      </c>
      <c r="C3299" s="3" t="inlineStr">
        <is>
          <t>대</t>
        </is>
      </c>
      <c r="D3299" s="3" t="inlineStr">
        <is>
          <t>대</t>
        </is>
      </c>
      <c r="E3299" s="3" t="inlineStr">
        <is>
          <t>매매</t>
        </is>
      </c>
      <c r="F3299" s="4" t="n">
        <v>431600</v>
      </c>
      <c r="G3299" s="4" t="n">
        <v>3170</v>
      </c>
      <c r="H3299" s="4" t="n">
        <v>959</v>
      </c>
      <c r="I3299" s="5" t="n">
        <v>450.1</v>
      </c>
      <c r="J3299" s="5" t="n">
        <v>219.8</v>
      </c>
      <c r="K3299" s="3" t="inlineStr">
        <is>
          <t>세종시 해밀동 토지 매매 숲속 타운하우스 15가구 부지 대지 3,170㎡</t>
        </is>
      </c>
      <c r="L3299" s="6">
        <f>HYPERLINK("https://fin.land.naver.com/articles/2651744353", "매물Link")</f>
        <v/>
      </c>
      <c r="M3299" s="6">
        <f>HYPERLINK("https://map.naver.com/p/search/해밀동 702", "지도Link")</f>
        <v/>
      </c>
      <c r="N3299" s="6">
        <f>HYPERLINK("http://www.eum.go.kr/web/ar/lu/luLandDet.jsp?pnu=3611011600107020000&amp;isNoScr=script&amp;mode=search", "토지이음")</f>
        <v/>
      </c>
      <c r="O3299" s="3" t="inlineStr">
        <is>
          <t>세종</t>
        </is>
      </c>
      <c r="P3299" s="4" t="n">
        <v>1</v>
      </c>
      <c r="Q3299" s="4" t="n">
        <v>3170.9</v>
      </c>
      <c r="R3299" s="3" t="inlineStr">
        <is>
          <t>지정되지않음</t>
        </is>
      </c>
      <c r="S3299" s="3" t="inlineStr">
        <is>
          <t>주거나지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소로한면</t>
        </is>
      </c>
    </row>
    <row r="3300">
      <c r="A3300" s="3" t="inlineStr">
        <is>
          <t>해밀동 704</t>
        </is>
      </c>
      <c r="B3300" s="3" t="inlineStr">
        <is>
          <t>제1종전용주거지역</t>
        </is>
      </c>
      <c r="C3300" s="3" t="inlineStr">
        <is>
          <t>대</t>
        </is>
      </c>
      <c r="D3300" s="3" t="inlineStr">
        <is>
          <t>대</t>
        </is>
      </c>
      <c r="E3300" s="3" t="inlineStr">
        <is>
          <t>매매</t>
        </is>
      </c>
      <c r="F3300" s="4" t="n">
        <v>60000</v>
      </c>
      <c r="G3300" s="4" t="n">
        <v>289</v>
      </c>
      <c r="H3300" s="4" t="n">
        <v>87</v>
      </c>
      <c r="I3300" s="5" t="n">
        <v>689.7</v>
      </c>
      <c r="J3300" s="5" t="n">
        <v>241.1</v>
      </c>
      <c r="K3300" s="3" t="inlineStr">
        <is>
          <t>조율가능 지대높음 원수산뷰 학교,상가 가까움</t>
        </is>
      </c>
      <c r="L3300" s="6">
        <f>HYPERLINK("https://fin.land.naver.com/articles/2652136537", "매물Link")</f>
        <v/>
      </c>
      <c r="M3300" s="6">
        <f>HYPERLINK("https://map.naver.com/p/search/해밀동 704", "지도Link")</f>
        <v/>
      </c>
      <c r="N3300" s="6">
        <f>HYPERLINK("http://www.eum.go.kr/web/ar/lu/luLandDet.jsp?pnu=3611011600107040000&amp;isNoScr=script&amp;mode=search", "토지이음")</f>
        <v/>
      </c>
      <c r="O3300" s="3" t="inlineStr">
        <is>
          <t>세종스타</t>
        </is>
      </c>
      <c r="P3300" s="4" t="n">
        <v>1</v>
      </c>
      <c r="Q3300" s="4" t="n">
        <v>289.4</v>
      </c>
      <c r="R3300" s="3" t="inlineStr">
        <is>
          <t>지정되지않음</t>
        </is>
      </c>
      <c r="S3300" s="3" t="inlineStr">
        <is>
          <t>주거나지</t>
        </is>
      </c>
      <c r="T3300" s="3" t="inlineStr">
        <is>
          <t>평지</t>
        </is>
      </c>
      <c r="U3300" s="3" t="inlineStr">
        <is>
          <t>세로장방</t>
        </is>
      </c>
      <c r="V3300" s="3" t="inlineStr">
        <is>
          <t>소로한면</t>
        </is>
      </c>
    </row>
    <row r="3301">
      <c r="A3301" s="3" t="inlineStr">
        <is>
          <t>해밀동 713</t>
        </is>
      </c>
      <c r="B3301" s="3" t="inlineStr">
        <is>
          <t>제1종전용주거지역</t>
        </is>
      </c>
      <c r="C3301" s="3" t="inlineStr">
        <is>
          <t>대</t>
        </is>
      </c>
      <c r="D3301" s="3" t="inlineStr">
        <is>
          <t>대</t>
        </is>
      </c>
      <c r="E3301" s="3" t="inlineStr">
        <is>
          <t>매매</t>
        </is>
      </c>
      <c r="F3301" s="4" t="n">
        <v>58000</v>
      </c>
      <c r="G3301" s="4" t="n">
        <v>324</v>
      </c>
      <c r="H3301" s="4" t="n">
        <v>98</v>
      </c>
      <c r="I3301" s="5" t="n">
        <v>591.8</v>
      </c>
      <c r="J3301" s="5" t="n">
        <v>241.1</v>
      </c>
      <c r="K3301" s="3" t="inlineStr">
        <is>
          <t>98.18p, 해밀동 네모 반듯한 단독주택 토지매매</t>
        </is>
      </c>
      <c r="L3301" s="6">
        <f>HYPERLINK("https://fin.land.naver.com/articles/2654925092", "매물Link")</f>
        <v/>
      </c>
      <c r="M3301" s="6">
        <f>HYPERLINK("https://map.naver.com/p/search/해밀동 713", "지도Link")</f>
        <v/>
      </c>
      <c r="N3301" s="6">
        <f>HYPERLINK("http://www.eum.go.kr/web/ar/lu/luLandDet.jsp?pnu=3611011600107130000&amp;isNoScr=script&amp;mode=search", "토지이음")</f>
        <v/>
      </c>
      <c r="O3301" s="3" t="inlineStr">
        <is>
          <t>명진</t>
        </is>
      </c>
      <c r="P3301" s="4" t="n">
        <v>1</v>
      </c>
      <c r="Q3301" s="4" t="n">
        <v>324</v>
      </c>
      <c r="R3301" s="3" t="inlineStr">
        <is>
          <t>지정되지않음</t>
        </is>
      </c>
      <c r="S3301" s="3" t="inlineStr">
        <is>
          <t>주거나지</t>
        </is>
      </c>
      <c r="T3301" s="3" t="inlineStr">
        <is>
          <t>평지</t>
        </is>
      </c>
      <c r="U3301" s="3" t="inlineStr">
        <is>
          <t>정방형</t>
        </is>
      </c>
      <c r="V3301" s="3" t="inlineStr">
        <is>
          <t>소로한면</t>
        </is>
      </c>
    </row>
    <row r="3302">
      <c r="A3302" s="3" t="inlineStr">
        <is>
          <t>해밀동 713</t>
        </is>
      </c>
      <c r="B3302" s="3" t="inlineStr">
        <is>
          <t>제1종전용주거지역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58000</v>
      </c>
      <c r="G3302" s="4" t="n">
        <v>324</v>
      </c>
      <c r="H3302" s="4" t="n">
        <v>98</v>
      </c>
      <c r="I3302" s="5" t="n">
        <v>591.8</v>
      </c>
      <c r="J3302" s="5" t="n">
        <v>241.1</v>
      </c>
      <c r="K3302" s="3" t="inlineStr">
        <is>
          <t>조율가능 남동향 트인위치 땅모양 좋음</t>
        </is>
      </c>
      <c r="L3302" s="6">
        <f>HYPERLINK("https://fin.land.naver.com/articles/2655182096", "매물Link")</f>
        <v/>
      </c>
      <c r="M3302" s="6">
        <f>HYPERLINK("https://map.naver.com/p/search/해밀동 713", "지도Link")</f>
        <v/>
      </c>
      <c r="N3302" s="6">
        <f>HYPERLINK("http://www.eum.go.kr/web/ar/lu/luLandDet.jsp?pnu=3611011600107130000&amp;isNoScr=script&amp;mode=search", "토지이음")</f>
        <v/>
      </c>
      <c r="O3302" s="3" t="inlineStr">
        <is>
          <t>세종스타</t>
        </is>
      </c>
      <c r="P3302" s="4" t="n">
        <v>1</v>
      </c>
      <c r="Q3302" s="4" t="n">
        <v>324</v>
      </c>
      <c r="R3302" s="3" t="inlineStr">
        <is>
          <t>지정되지않음</t>
        </is>
      </c>
      <c r="S3302" s="3" t="inlineStr">
        <is>
          <t>주거나지</t>
        </is>
      </c>
      <c r="T3302" s="3" t="inlineStr">
        <is>
          <t>평지</t>
        </is>
      </c>
      <c r="U3302" s="3" t="inlineStr">
        <is>
          <t>정방형</t>
        </is>
      </c>
      <c r="V3302" s="3" t="inlineStr">
        <is>
          <t>소로한면</t>
        </is>
      </c>
    </row>
    <row r="3303">
      <c r="A3303" s="3" t="inlineStr">
        <is>
          <t>해밀동 756</t>
        </is>
      </c>
      <c r="B3303" s="3" t="inlineStr">
        <is>
          <t>제1종전용주거지역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57000</v>
      </c>
      <c r="G3303" s="4" t="n">
        <v>326</v>
      </c>
      <c r="H3303" s="4" t="n">
        <v>99</v>
      </c>
      <c r="I3303" s="5" t="n">
        <v>575.8</v>
      </c>
      <c r="J3303" s="5" t="n">
        <v>241.1</v>
      </c>
      <c r="K3303" s="3" t="inlineStr">
        <is>
          <t>3면이 보행자 전용도로를 접한 쾌적한 토지</t>
        </is>
      </c>
      <c r="L3303" s="6">
        <f>HYPERLINK("https://fin.land.naver.com/articles/2656263810", "매물Link")</f>
        <v/>
      </c>
      <c r="M3303" s="6">
        <f>HYPERLINK("https://map.naver.com/p/search/해밀동 756", "지도Link")</f>
        <v/>
      </c>
      <c r="N3303" s="6">
        <f>HYPERLINK("http://www.eum.go.kr/web/ar/lu/luLandDet.jsp?pnu=3611011600107560000&amp;isNoScr=script&amp;mode=search", "토지이음")</f>
        <v/>
      </c>
      <c r="O3303" s="3" t="inlineStr">
        <is>
          <t>킹세종</t>
        </is>
      </c>
      <c r="P3303" s="4" t="n">
        <v>2</v>
      </c>
      <c r="Q3303" s="4" t="n">
        <v>326.4</v>
      </c>
      <c r="R3303" s="3" t="inlineStr">
        <is>
          <t>지정되지않음</t>
        </is>
      </c>
      <c r="S3303" s="3" t="inlineStr">
        <is>
          <t>주거나지</t>
        </is>
      </c>
      <c r="T3303" s="3" t="inlineStr">
        <is>
          <t>평지</t>
        </is>
      </c>
      <c r="U3303" s="3" t="inlineStr">
        <is>
          <t>정방형</t>
        </is>
      </c>
      <c r="V3303" s="3" t="inlineStr">
        <is>
          <t>소로한면</t>
        </is>
      </c>
    </row>
    <row r="3304">
      <c r="A3304" s="3" t="inlineStr">
        <is>
          <t>해밀동 767</t>
        </is>
      </c>
      <c r="B3304" s="3" t="inlineStr">
        <is>
          <t>제1종전용주거지역</t>
        </is>
      </c>
      <c r="C3304" s="3" t="inlineStr">
        <is>
          <t>대</t>
        </is>
      </c>
      <c r="D3304" s="3" t="inlineStr">
        <is>
          <t>대</t>
        </is>
      </c>
      <c r="E3304" s="3" t="inlineStr">
        <is>
          <t>매매</t>
        </is>
      </c>
      <c r="F3304" s="4" t="n">
        <v>55000</v>
      </c>
      <c r="G3304" s="4" t="n">
        <v>287</v>
      </c>
      <c r="H3304" s="4" t="n">
        <v>87</v>
      </c>
      <c r="I3304" s="5" t="n">
        <v>632.2</v>
      </c>
      <c r="J3304" s="5" t="n">
        <v>241.1</v>
      </c>
      <c r="K3304" s="3" t="inlineStr">
        <is>
          <t>남향 보행로접함 뒷편 공원조망 조율가능</t>
        </is>
      </c>
      <c r="L3304" s="6">
        <f>HYPERLINK("https://fin.land.naver.com/articles/2656122993", "매물Link")</f>
        <v/>
      </c>
      <c r="M3304" s="6">
        <f>HYPERLINK("https://map.naver.com/p/search/해밀동 767", "지도Link")</f>
        <v/>
      </c>
      <c r="N3304" s="6">
        <f>HYPERLINK("http://www.eum.go.kr/web/ar/lu/luLandDet.jsp?pnu=3611011600107670000&amp;isNoScr=script&amp;mode=search", "토지이음")</f>
        <v/>
      </c>
      <c r="O3304" s="3" t="inlineStr">
        <is>
          <t>세종스타</t>
        </is>
      </c>
      <c r="P3304" s="4" t="n">
        <v>1</v>
      </c>
      <c r="Q3304" s="4" t="n">
        <v>287.5</v>
      </c>
      <c r="R3304" s="3" t="inlineStr">
        <is>
          <t>지정되지않음</t>
        </is>
      </c>
      <c r="S3304" s="3" t="inlineStr">
        <is>
          <t>주거나지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소로한면</t>
        </is>
      </c>
    </row>
    <row r="3305">
      <c r="A3305" s="3" t="inlineStr">
        <is>
          <t>해밀동 777</t>
        </is>
      </c>
      <c r="B3305" s="3" t="inlineStr">
        <is>
          <t>제1종전용주거지역</t>
        </is>
      </c>
      <c r="C3305" s="3" t="inlineStr">
        <is>
          <t>대</t>
        </is>
      </c>
      <c r="D3305" s="3" t="inlineStr">
        <is>
          <t>대</t>
        </is>
      </c>
      <c r="E3305" s="3" t="inlineStr">
        <is>
          <t>매매</t>
        </is>
      </c>
      <c r="F3305" s="4" t="n">
        <v>56500</v>
      </c>
      <c r="G3305" s="4" t="n">
        <v>294</v>
      </c>
      <c r="H3305" s="4" t="n">
        <v>89</v>
      </c>
      <c r="I3305" s="5" t="n">
        <v>634.8</v>
      </c>
      <c r="J3305" s="5" t="n">
        <v>243.3</v>
      </c>
      <c r="K3305" s="3" t="inlineStr">
        <is>
          <t>남향 원수산조망 뒷쪽 보행로접</t>
        </is>
      </c>
      <c r="L3305" s="6">
        <f>HYPERLINK("https://fin.land.naver.com/articles/2653837563", "매물Link")</f>
        <v/>
      </c>
      <c r="M3305" s="6">
        <f>HYPERLINK("https://map.naver.com/p/search/해밀동 777", "지도Link")</f>
        <v/>
      </c>
      <c r="N3305" s="6">
        <f>HYPERLINK("http://www.eum.go.kr/web/ar/lu/luLandDet.jsp?pnu=3611011600107770000&amp;isNoScr=script&amp;mode=search", "토지이음")</f>
        <v/>
      </c>
      <c r="O3305" s="3" t="inlineStr">
        <is>
          <t>세종스타</t>
        </is>
      </c>
      <c r="P3305" s="4" t="n">
        <v>1</v>
      </c>
      <c r="Q3305" s="4" t="n">
        <v>294.8</v>
      </c>
      <c r="R3305" s="3" t="inlineStr">
        <is>
          <t>지정되지않음</t>
        </is>
      </c>
      <c r="S3305" s="3" t="inlineStr">
        <is>
          <t>주거나지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소로한면</t>
        </is>
      </c>
    </row>
    <row r="3306">
      <c r="A3306" s="3" t="inlineStr">
        <is>
          <t>해밀동 777</t>
        </is>
      </c>
      <c r="B3306" s="3" t="inlineStr">
        <is>
          <t>제1종전용주거지역</t>
        </is>
      </c>
      <c r="C3306" s="3" t="inlineStr">
        <is>
          <t>대</t>
        </is>
      </c>
      <c r="D3306" s="3" t="inlineStr">
        <is>
          <t>대</t>
        </is>
      </c>
      <c r="E3306" s="3" t="inlineStr">
        <is>
          <t>매매</t>
        </is>
      </c>
      <c r="F3306" s="4" t="n">
        <v>56500</v>
      </c>
      <c r="G3306" s="4" t="n">
        <v>294</v>
      </c>
      <c r="H3306" s="4" t="n">
        <v>89</v>
      </c>
      <c r="I3306" s="5" t="n">
        <v>634.8</v>
      </c>
      <c r="J3306" s="5" t="n">
        <v>243.3</v>
      </c>
      <c r="K3306" s="3" t="inlineStr">
        <is>
          <t>해밀동 가격 좋은 단독주택 매매, 공원인근</t>
        </is>
      </c>
      <c r="L3306" s="6">
        <f>HYPERLINK("https://fin.land.naver.com/articles/2653569861", "매물Link")</f>
        <v/>
      </c>
      <c r="M3306" s="6">
        <f>HYPERLINK("https://map.naver.com/p/search/해밀동 777", "지도Link")</f>
        <v/>
      </c>
      <c r="N3306" s="6">
        <f>HYPERLINK("http://www.eum.go.kr/web/ar/lu/luLandDet.jsp?pnu=3611011600107770000&amp;isNoScr=script&amp;mode=search", "토지이음")</f>
        <v/>
      </c>
      <c r="O3306" s="3" t="inlineStr">
        <is>
          <t>세종무지개</t>
        </is>
      </c>
      <c r="P3306" s="4" t="n">
        <v>1</v>
      </c>
      <c r="Q3306" s="4" t="n">
        <v>294.8</v>
      </c>
      <c r="R3306" s="3" t="inlineStr">
        <is>
          <t>지정되지않음</t>
        </is>
      </c>
      <c r="S3306" s="3" t="inlineStr">
        <is>
          <t>주거나지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소로한면</t>
        </is>
      </c>
    </row>
    <row r="3307">
      <c r="A3307" s="3" t="inlineStr">
        <is>
          <t>해밀동 806</t>
        </is>
      </c>
      <c r="B3307" s="3" t="inlineStr">
        <is>
          <t>제1종전용주거지역</t>
        </is>
      </c>
      <c r="C3307" s="3" t="inlineStr">
        <is>
          <t>도로</t>
        </is>
      </c>
      <c r="D3307" s="3" t="inlineStr">
        <is>
          <t>대</t>
        </is>
      </c>
      <c r="E3307" s="3" t="inlineStr">
        <is>
          <t>매매</t>
        </is>
      </c>
      <c r="F3307" s="4" t="n">
        <v>70000</v>
      </c>
      <c r="G3307" s="4" t="n">
        <v>314</v>
      </c>
      <c r="H3307" s="4" t="n">
        <v>95</v>
      </c>
      <c r="I3307" s="5" t="n">
        <v>736.8</v>
      </c>
      <c r="J3307" s="5" t="n">
        <v>79.59999999999999</v>
      </c>
      <c r="K3307" s="3" t="inlineStr">
        <is>
          <t>조율가능 시유지접한 지대높음</t>
        </is>
      </c>
      <c r="L3307" s="6">
        <f>HYPERLINK("https://fin.land.naver.com/articles/2651299558", "매물Link")</f>
        <v/>
      </c>
      <c r="M3307" s="6">
        <f>HYPERLINK("https://map.naver.com/p/search/해밀동 806", "지도Link")</f>
        <v/>
      </c>
      <c r="N3307" s="6">
        <f>HYPERLINK("http://www.eum.go.kr/web/ar/lu/luLandDet.jsp?pnu=3611011600108060000&amp;isNoScr=script&amp;mode=search", "토지이음")</f>
        <v/>
      </c>
      <c r="O3307" s="3" t="inlineStr">
        <is>
          <t>세종스타</t>
        </is>
      </c>
      <c r="P3307" s="4" t="n">
        <v>1</v>
      </c>
      <c r="Q3307" s="4" t="n">
        <v>5372.8</v>
      </c>
      <c r="R3307" s="3" t="inlineStr">
        <is>
          <t>지정되지않음</t>
        </is>
      </c>
      <c r="S3307" s="3" t="inlineStr">
        <is>
          <t>도로등</t>
        </is>
      </c>
      <c r="T3307" s="3" t="inlineStr">
        <is>
          <t>평지</t>
        </is>
      </c>
      <c r="U3307" s="3" t="inlineStr">
        <is>
          <t>부정형</t>
        </is>
      </c>
      <c r="V3307" s="3" t="inlineStr">
        <is>
          <t>지정되지않음</t>
        </is>
      </c>
    </row>
    <row r="3308">
      <c r="A3308" s="3" t="inlineStr">
        <is>
          <t>현도면 노산리 10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9900</v>
      </c>
      <c r="G3308" s="4" t="n">
        <v>660</v>
      </c>
      <c r="H3308" s="4" t="n">
        <v>200</v>
      </c>
      <c r="I3308" s="5" t="n">
        <v>49.5</v>
      </c>
      <c r="J3308" s="5" t="n">
        <v>19.3</v>
      </c>
      <c r="K3308" s="3" t="inlineStr">
        <is>
          <t>2차선 도로에 접하고 남향으로 해가 잘 들고 금강이 보이는 주말농장부지</t>
        </is>
      </c>
      <c r="L3308" s="6">
        <f>HYPERLINK("https://fin.land.naver.com/articles/2650884587", "매물Link")</f>
        <v/>
      </c>
      <c r="M3308" s="6">
        <f>HYPERLINK("https://map.naver.com/p/search/현도면 노산리 10", "지도Link")</f>
        <v/>
      </c>
      <c r="N3308" s="6">
        <f>HYPERLINK("http://www.eum.go.kr/web/ar/lu/luLandDet.jsp?pnu=4311232030100100000&amp;isNoScr=script&amp;mode=search",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660</v>
      </c>
      <c r="R3308" s="3" t="inlineStr">
        <is>
          <t>지정되지않음</t>
        </is>
      </c>
      <c r="S3308" s="3" t="inlineStr">
        <is>
          <t>답</t>
        </is>
      </c>
      <c r="T3308" s="3" t="inlineStr">
        <is>
          <t>완경사</t>
        </is>
      </c>
      <c r="U3308" s="3" t="inlineStr">
        <is>
          <t>부정형</t>
        </is>
      </c>
      <c r="V3308" s="3" t="inlineStr">
        <is>
          <t>세로한면(불)</t>
        </is>
      </c>
    </row>
    <row r="3309">
      <c r="A3309" s="3" t="inlineStr">
        <is>
          <t>현도면 노산리 136</t>
        </is>
      </c>
      <c r="B3309" s="3" t="inlineStr">
        <is>
          <t>개발제한구역</t>
        </is>
      </c>
      <c r="C3309" s="3" t="inlineStr">
        <is>
          <t>답</t>
        </is>
      </c>
      <c r="D3309" s="3" t="inlineStr">
        <is>
          <t>답</t>
        </is>
      </c>
      <c r="E3309" s="3" t="inlineStr">
        <is>
          <t>매매</t>
        </is>
      </c>
      <c r="F3309" s="4" t="n">
        <v>31185</v>
      </c>
      <c r="G3309" s="4" t="n">
        <v>4943</v>
      </c>
      <c r="H3309" s="4" t="n">
        <v>1495</v>
      </c>
      <c r="I3309" s="5" t="n">
        <v>20.9</v>
      </c>
      <c r="J3309" s="5" t="n">
        <v>9.1</v>
      </c>
      <c r="K3309" s="3" t="inlineStr">
        <is>
          <t>nan</t>
        </is>
      </c>
      <c r="L3309" s="6">
        <f>HYPERLINK("https://fin.land.naver.com/articles/2653643840", "매물Link")</f>
        <v/>
      </c>
      <c r="M3309" s="6">
        <f>HYPERLINK("https://map.naver.com/p/search/현도면 노산리 136", "지도Link")</f>
        <v/>
      </c>
      <c r="N3309" s="6">
        <f>HYPERLINK("http://www.eum.go.kr/web/ar/lu/luLandDet.jsp?pnu=4311232030101360000&amp;isNoScr=script&amp;mode=search", "토지이음")</f>
        <v/>
      </c>
      <c r="O3309" s="3" t="inlineStr">
        <is>
          <t>미르</t>
        </is>
      </c>
      <c r="P3309" s="4" t="n">
        <v>1</v>
      </c>
      <c r="Q3309" s="4" t="n">
        <v>1498</v>
      </c>
      <c r="R3309" s="3" t="inlineStr">
        <is>
          <t>지정되지않음</t>
        </is>
      </c>
      <c r="S3309" s="3" t="inlineStr">
        <is>
          <t>답</t>
        </is>
      </c>
      <c r="T3309" s="3" t="inlineStr">
        <is>
          <t>완경사</t>
        </is>
      </c>
      <c r="U3309" s="3" t="inlineStr">
        <is>
          <t>부정형</t>
        </is>
      </c>
      <c r="V3309" s="3" t="inlineStr">
        <is>
          <t>세로한면(불)</t>
        </is>
      </c>
    </row>
    <row r="3310">
      <c r="A3310" s="3" t="inlineStr">
        <is>
          <t>현도면 노산리 2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전</t>
        </is>
      </c>
      <c r="E3310" s="3" t="inlineStr">
        <is>
          <t>매매</t>
        </is>
      </c>
      <c r="F3310" s="4" t="n">
        <v>14000</v>
      </c>
      <c r="G3310" s="4" t="n">
        <v>762</v>
      </c>
      <c r="H3310" s="4" t="n">
        <v>231</v>
      </c>
      <c r="I3310" s="5" t="n">
        <v>60.6</v>
      </c>
      <c r="J3310" s="5" t="n">
        <v>21.4</v>
      </c>
      <c r="K3310" s="3" t="inlineStr">
        <is>
          <t>아주 귀한 위치 좋은 농지 2차선 도로에 접한 전으로 주말농장, 텃밭 등</t>
        </is>
      </c>
      <c r="L3310" s="6">
        <f>HYPERLINK("https://fin.land.naver.com/articles/2653599342", "매물Link")</f>
        <v/>
      </c>
      <c r="M3310" s="6">
        <f>HYPERLINK("https://map.naver.com/p/search/현도면 노산리 2", "지도Link")</f>
        <v/>
      </c>
      <c r="N3310" s="6">
        <f>HYPERLINK("http://www.eum.go.kr/web/ar/lu/luLandDet.jsp?pnu=4311232030100020000&amp;isNoScr=script&amp;mode=search", "토지이음")</f>
        <v/>
      </c>
      <c r="O3310" s="3" t="inlineStr">
        <is>
          <t>대전토지로무소</t>
        </is>
      </c>
      <c r="P3310" s="4" t="n">
        <v>1</v>
      </c>
      <c r="Q3310" s="4" t="n">
        <v>762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소로한면</t>
        </is>
      </c>
    </row>
    <row r="3311">
      <c r="A3311" s="3" t="inlineStr">
        <is>
          <t>현도면 노산리 224-2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12500</v>
      </c>
      <c r="G3311" s="4" t="n">
        <v>1130</v>
      </c>
      <c r="H3311" s="4" t="n">
        <v>342</v>
      </c>
      <c r="I3311" s="5" t="n">
        <v>36.5</v>
      </c>
      <c r="J3311" s="5" t="n">
        <v>15.2</v>
      </c>
      <c r="K3311" s="3" t="inlineStr">
        <is>
          <t>대전 청주 근교에 농장 찾는 분께 추천</t>
        </is>
      </c>
      <c r="L3311" s="6">
        <f>HYPERLINK("https://fin.land.naver.com/articles/2652653735", "매물Link")</f>
        <v/>
      </c>
      <c r="M3311" s="6">
        <f>HYPERLINK("https://map.naver.com/p/search/현도면 노산리 224-2", "지도Link")</f>
        <v/>
      </c>
      <c r="N3311" s="6">
        <f>HYPERLINK("http://www.eum.go.kr/web/ar/lu/luLandDet.jsp?pnu=4311232030102240002&amp;isNoScr=script&amp;mode=search", "토지이음")</f>
        <v/>
      </c>
      <c r="O3311" s="3" t="inlineStr">
        <is>
          <t>대별</t>
        </is>
      </c>
      <c r="P3311" s="4" t="n">
        <v>1</v>
      </c>
      <c r="Q3311" s="4" t="n">
        <v>873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맹지</t>
        </is>
      </c>
    </row>
    <row r="3312">
      <c r="A3312" s="3" t="inlineStr">
        <is>
          <t>현도면 노산리 293</t>
        </is>
      </c>
      <c r="B3312" s="3" t="inlineStr">
        <is>
          <t>개발제한구역</t>
        </is>
      </c>
      <c r="C3312" s="3" t="inlineStr">
        <is>
          <t>답</t>
        </is>
      </c>
      <c r="D3312" s="3" t="inlineStr">
        <is>
          <t>답</t>
        </is>
      </c>
      <c r="E3312" s="3" t="inlineStr">
        <is>
          <t>매매</t>
        </is>
      </c>
      <c r="F3312" s="4" t="n">
        <v>21000</v>
      </c>
      <c r="G3312" s="4" t="n">
        <v>1805</v>
      </c>
      <c r="H3312" s="4" t="n">
        <v>546</v>
      </c>
      <c r="I3312" s="5" t="n">
        <v>38.5</v>
      </c>
      <c r="J3312" s="5" t="n">
        <v>18.1</v>
      </c>
      <c r="K3312" s="3" t="inlineStr">
        <is>
          <t>양면도로 접 해가 잘드는 네모 반듯한 토지 주말농장 농지원부용 투자 등</t>
        </is>
      </c>
      <c r="L3312" s="6">
        <f>HYPERLINK("https://fin.land.naver.com/articles/2651942681", "매물Link")</f>
        <v/>
      </c>
      <c r="M3312" s="6">
        <f>HYPERLINK("https://map.naver.com/p/search/현도면 노산리 293", "지도Link")</f>
        <v/>
      </c>
      <c r="N3312" s="6">
        <f>HYPERLINK("http://www.eum.go.kr/web/ar/lu/luLandDet.jsp?pnu=4311232030102930000&amp;isNoScr=script&amp;mode=search", "토지이음")</f>
        <v/>
      </c>
      <c r="O3312" s="3" t="inlineStr">
        <is>
          <t>대전토지로무소</t>
        </is>
      </c>
      <c r="P3312" s="4" t="n">
        <v>1</v>
      </c>
      <c r="Q3312" s="4" t="n">
        <v>1805</v>
      </c>
      <c r="R3312" s="3" t="inlineStr">
        <is>
          <t>지정되지않음</t>
        </is>
      </c>
      <c r="S3312" s="3" t="inlineStr">
        <is>
          <t>답</t>
        </is>
      </c>
      <c r="T3312" s="3" t="inlineStr">
        <is>
          <t>평지</t>
        </is>
      </c>
      <c r="U3312" s="3" t="inlineStr">
        <is>
          <t>세로장방</t>
        </is>
      </c>
      <c r="V3312" s="3" t="inlineStr">
        <is>
          <t>세로한면(가)</t>
        </is>
      </c>
    </row>
    <row r="3313">
      <c r="A3313" s="3" t="inlineStr">
        <is>
          <t>현도면 노산리 293-1</t>
        </is>
      </c>
      <c r="B3313" s="3" t="inlineStr">
        <is>
          <t>개발제한구역</t>
        </is>
      </c>
      <c r="C3313" s="3" t="inlineStr">
        <is>
          <t>답</t>
        </is>
      </c>
      <c r="D3313" s="3" t="inlineStr">
        <is>
          <t>답</t>
        </is>
      </c>
      <c r="E3313" s="3" t="inlineStr">
        <is>
          <t>매매</t>
        </is>
      </c>
      <c r="F3313" s="4" t="n">
        <v>14500</v>
      </c>
      <c r="G3313" s="4" t="n">
        <v>1136</v>
      </c>
      <c r="H3313" s="4" t="n">
        <v>344</v>
      </c>
      <c r="I3313" s="5" t="n">
        <v>42.2</v>
      </c>
      <c r="J3313" s="5" t="n">
        <v>18.1</v>
      </c>
      <c r="K3313" s="3" t="inlineStr">
        <is>
          <t>서원구 현도면 답 매매 진입 도로 있음</t>
        </is>
      </c>
      <c r="L3313" s="6">
        <f>HYPERLINK("https://fin.land.naver.com/articles/2655611258", "매물Link")</f>
        <v/>
      </c>
      <c r="M3313" s="6">
        <f>HYPERLINK("https://map.naver.com/p/search/현도면 노산리 293-1", "지도Link")</f>
        <v/>
      </c>
      <c r="N3313" s="6">
        <f>HYPERLINK("http://www.eum.go.kr/web/ar/lu/luLandDet.jsp?pnu=4311232030102930001&amp;isNoScr=script&amp;mode=search", "토지이음")</f>
        <v/>
      </c>
      <c r="O3313" s="3" t="inlineStr">
        <is>
          <t>365사무소</t>
        </is>
      </c>
      <c r="P3313" s="4" t="n">
        <v>1</v>
      </c>
      <c r="Q3313" s="4" t="n">
        <v>1136</v>
      </c>
      <c r="R3313" s="3" t="inlineStr">
        <is>
          <t>지정되지않음</t>
        </is>
      </c>
      <c r="S3313" s="3" t="inlineStr">
        <is>
          <t>답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세로한면(가)</t>
        </is>
      </c>
    </row>
    <row r="3314">
      <c r="A3314" s="3" t="inlineStr">
        <is>
          <t>현도면 노산리 293-1</t>
        </is>
      </c>
      <c r="B3314" s="3" t="inlineStr">
        <is>
          <t>개발제한구역</t>
        </is>
      </c>
      <c r="C3314" s="3" t="inlineStr">
        <is>
          <t>답</t>
        </is>
      </c>
      <c r="D3314" s="3" t="inlineStr">
        <is>
          <t>답</t>
        </is>
      </c>
      <c r="E3314" s="3" t="inlineStr">
        <is>
          <t>매매</t>
        </is>
      </c>
      <c r="F3314" s="4" t="n">
        <v>14000</v>
      </c>
      <c r="G3314" s="4" t="n">
        <v>1136</v>
      </c>
      <c r="H3314" s="4" t="n">
        <v>344</v>
      </c>
      <c r="I3314" s="5" t="n">
        <v>40.7</v>
      </c>
      <c r="J3314" s="5" t="n">
        <v>18.1</v>
      </c>
      <c r="K3314" s="3" t="inlineStr">
        <is>
          <t>도로에 접한 농지, 물 사용하기 편한 농지</t>
        </is>
      </c>
      <c r="L3314" s="6">
        <f>HYPERLINK("https://fin.land.naver.com/articles/2656127199", "매물Link")</f>
        <v/>
      </c>
      <c r="M3314" s="6">
        <f>HYPERLINK("https://map.naver.com/p/search/현도면 노산리 293-1", "지도Link")</f>
        <v/>
      </c>
      <c r="N3314" s="6">
        <f>HYPERLINK("http://www.eum.go.kr/web/ar/lu/luLandDet.jsp?pnu=4311232030102930001&amp;isNoScr=script&amp;mode=search", "토지이음")</f>
        <v/>
      </c>
      <c r="O3314" s="3" t="inlineStr">
        <is>
          <t>복돼지</t>
        </is>
      </c>
      <c r="P3314" s="4" t="n">
        <v>1</v>
      </c>
      <c r="Q3314" s="4" t="n">
        <v>1136</v>
      </c>
      <c r="R3314" s="3" t="inlineStr">
        <is>
          <t>지정되지않음</t>
        </is>
      </c>
      <c r="S3314" s="3" t="inlineStr">
        <is>
          <t>답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세로한면(가)</t>
        </is>
      </c>
    </row>
    <row r="3315">
      <c r="A3315" s="3" t="inlineStr">
        <is>
          <t>현도면 노산리 423</t>
        </is>
      </c>
      <c r="B3315" s="3" t="inlineStr">
        <is>
          <t>개발제한구역</t>
        </is>
      </c>
      <c r="C3315" s="3" t="inlineStr">
        <is>
          <t>답</t>
        </is>
      </c>
      <c r="D3315" s="3" t="inlineStr">
        <is>
          <t>전</t>
        </is>
      </c>
      <c r="E3315" s="3" t="inlineStr">
        <is>
          <t>매매</t>
        </is>
      </c>
      <c r="F3315" s="4" t="n">
        <v>25200</v>
      </c>
      <c r="G3315" s="4" t="n">
        <v>2195</v>
      </c>
      <c r="H3315" s="4" t="n">
        <v>664</v>
      </c>
      <c r="I3315" s="5" t="n">
        <v>38</v>
      </c>
      <c r="J3315" s="5" t="n">
        <v>17.1</v>
      </c>
      <c r="K3315" s="3" t="inlineStr">
        <is>
          <t>nan</t>
        </is>
      </c>
      <c r="L3315" s="6">
        <f>HYPERLINK("https://fin.land.naver.com/articles/2654783849", "매물Link")</f>
        <v/>
      </c>
      <c r="M3315" s="6">
        <f>HYPERLINK("https://map.naver.com/p/search/현도면 노산리 423", "지도Link")</f>
        <v/>
      </c>
      <c r="N3315" s="6">
        <f>HYPERLINK("http://www.eum.go.kr/web/ar/lu/luLandDet.jsp?pnu=4311232030104230000&amp;isNoScr=script&amp;mode=search", "토지이음")</f>
        <v/>
      </c>
      <c r="O3315" s="3" t="inlineStr">
        <is>
          <t>강성원</t>
        </is>
      </c>
      <c r="P3315" s="4" t="n">
        <v>1</v>
      </c>
      <c r="Q3315" s="4" t="n">
        <v>2195</v>
      </c>
      <c r="R3315" s="3" t="inlineStr">
        <is>
          <t>지정되지않음</t>
        </is>
      </c>
      <c r="S3315" s="3" t="inlineStr">
        <is>
          <t>답</t>
        </is>
      </c>
      <c r="T3315" s="3" t="inlineStr">
        <is>
          <t>평지</t>
        </is>
      </c>
      <c r="U3315" s="3" t="inlineStr">
        <is>
          <t>사다리형</t>
        </is>
      </c>
      <c r="V3315" s="3" t="inlineStr">
        <is>
          <t>세로한면(불)</t>
        </is>
      </c>
    </row>
    <row r="3316">
      <c r="A3316" s="3" t="inlineStr">
        <is>
          <t>현도면 노산리 498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29000</v>
      </c>
      <c r="G3316" s="4" t="n">
        <v>3022</v>
      </c>
      <c r="H3316" s="4" t="n">
        <v>914</v>
      </c>
      <c r="I3316" s="5" t="n">
        <v>31.7</v>
      </c>
      <c r="J3316" s="5" t="n">
        <v>19.2</v>
      </c>
      <c r="K3316" s="3" t="inlineStr">
        <is>
          <t>신탄진에서 가깝고 경치좋고 해가 잘드는 주말 농지 추천</t>
        </is>
      </c>
      <c r="L3316" s="6">
        <f>HYPERLINK("https://fin.land.naver.com/articles/2651923687", "매물Link")</f>
        <v/>
      </c>
      <c r="M3316" s="6">
        <f>HYPERLINK("https://map.naver.com/p/search/현도면 노산리 498", "지도Link")</f>
        <v/>
      </c>
      <c r="N3316" s="6">
        <f>HYPERLINK("http://www.eum.go.kr/web/ar/lu/luLandDet.jsp?pnu=4311232030104980000&amp;isNoScr=script&amp;mode=search", "토지이음")</f>
        <v/>
      </c>
      <c r="O3316" s="3" t="inlineStr">
        <is>
          <t>대전토지로무소</t>
        </is>
      </c>
      <c r="P3316" s="4" t="n">
        <v>1</v>
      </c>
      <c r="Q3316" s="4" t="n">
        <v>3022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평지</t>
        </is>
      </c>
      <c r="U3316" s="3" t="inlineStr">
        <is>
          <t>세로장방</t>
        </is>
      </c>
      <c r="V3316" s="3" t="inlineStr">
        <is>
          <t>세로한면(가)</t>
        </is>
      </c>
    </row>
    <row r="3317">
      <c r="A3317" s="3" t="inlineStr">
        <is>
          <t>현도면 노산리 531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12600</v>
      </c>
      <c r="G3317" s="4" t="n">
        <v>1389</v>
      </c>
      <c r="H3317" s="4" t="n">
        <v>420</v>
      </c>
      <c r="I3317" s="5" t="n">
        <v>30</v>
      </c>
      <c r="J3317" s="5" t="n">
        <v>19.2</v>
      </c>
      <c r="K3317" s="3" t="inlineStr">
        <is>
          <t>농업진흥구역,진입도로 양호.</t>
        </is>
      </c>
      <c r="L3317" s="6">
        <f>HYPERLINK("https://fin.land.naver.com/articles/2656048400", "매물Link")</f>
        <v/>
      </c>
      <c r="M3317" s="6">
        <f>HYPERLINK("https://map.naver.com/p/search/현도면 노산리 531", "지도Link")</f>
        <v/>
      </c>
      <c r="N3317" s="6">
        <f>HYPERLINK("http://www.eum.go.kr/web/ar/lu/luLandDet.jsp?pnu=4311232030105310000&amp;isNoScr=script&amp;mode=search", "토지이음")</f>
        <v/>
      </c>
      <c r="O3317" s="3" t="inlineStr">
        <is>
          <t>햇님</t>
        </is>
      </c>
      <c r="P3317" s="4" t="n">
        <v>2</v>
      </c>
      <c r="Q3317" s="4" t="n">
        <v>1389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노산리 547</t>
        </is>
      </c>
      <c r="B3318" s="3" t="inlineStr">
        <is>
          <t>개발제한구역</t>
        </is>
      </c>
      <c r="C3318" s="3" t="inlineStr">
        <is>
          <t>답</t>
        </is>
      </c>
      <c r="D3318" s="3" t="inlineStr">
        <is>
          <t>답</t>
        </is>
      </c>
      <c r="E3318" s="3" t="inlineStr">
        <is>
          <t>매매</t>
        </is>
      </c>
      <c r="F3318" s="4" t="n">
        <v>9900</v>
      </c>
      <c r="G3318" s="4" t="n">
        <v>1271</v>
      </c>
      <c r="H3318" s="4" t="n">
        <v>384</v>
      </c>
      <c r="I3318" s="5" t="n">
        <v>25.8</v>
      </c>
      <c r="J3318" s="5" t="n">
        <v>19.2</v>
      </c>
      <c r="K3318" s="3" t="inlineStr">
        <is>
          <t>주변시세보다 월등히 저렴한 소형토지, 포장도로 접 해가 잘드는 주말농장</t>
        </is>
      </c>
      <c r="L3318" s="6">
        <f>HYPERLINK("https://fin.land.naver.com/articles/2654968983", "매물Link")</f>
        <v/>
      </c>
      <c r="M3318" s="6">
        <f>HYPERLINK("https://map.naver.com/p/search/현도면 노산리 547", "지도Link")</f>
        <v/>
      </c>
      <c r="N3318" s="6">
        <f>HYPERLINK("http://www.eum.go.kr/web/ar/lu/luLandDet.jsp?pnu=4311232030105470000&amp;isNoScr=script&amp;mode=search", "토지이음")</f>
        <v/>
      </c>
      <c r="O3318" s="3" t="inlineStr">
        <is>
          <t>대전토지로무소</t>
        </is>
      </c>
      <c r="P3318" s="4" t="n">
        <v>1</v>
      </c>
      <c r="Q3318" s="4" t="n">
        <v>1272</v>
      </c>
      <c r="R3318" s="3" t="inlineStr">
        <is>
          <t>지정되지않음</t>
        </is>
      </c>
      <c r="S3318" s="3" t="inlineStr">
        <is>
          <t>답</t>
        </is>
      </c>
      <c r="T3318" s="3" t="inlineStr">
        <is>
          <t>평지</t>
        </is>
      </c>
      <c r="U3318" s="3" t="inlineStr">
        <is>
          <t>세로장방</t>
        </is>
      </c>
      <c r="V3318" s="3" t="inlineStr">
        <is>
          <t>세로한면(가)</t>
        </is>
      </c>
    </row>
    <row r="3319">
      <c r="A3319" s="3" t="inlineStr">
        <is>
          <t>현도면 노산리 600</t>
        </is>
      </c>
      <c r="B3319" s="3" t="inlineStr">
        <is>
          <t>개발제한구역</t>
        </is>
      </c>
      <c r="C3319" s="3" t="inlineStr">
        <is>
          <t>전</t>
        </is>
      </c>
      <c r="D3319" s="3" t="inlineStr">
        <is>
          <t>전</t>
        </is>
      </c>
      <c r="E3319" s="3" t="inlineStr">
        <is>
          <t>매매</t>
        </is>
      </c>
      <c r="F3319" s="4" t="n">
        <v>32000</v>
      </c>
      <c r="G3319" s="4" t="n">
        <v>2960</v>
      </c>
      <c r="H3319" s="4" t="n">
        <v>895</v>
      </c>
      <c r="I3319" s="5" t="n">
        <v>35.8</v>
      </c>
      <c r="J3319" s="5" t="n">
        <v>20.6</v>
      </c>
      <c r="K3319" s="3" t="inlineStr">
        <is>
          <t>노산리 도로가 농지 매매, 신탄진지역 차로 10분 거리</t>
        </is>
      </c>
      <c r="L3319" s="6">
        <f>HYPERLINK("https://fin.land.naver.com/articles/2655015775", "매물Link")</f>
        <v/>
      </c>
      <c r="M3319" s="6">
        <f>HYPERLINK("https://map.naver.com/p/search/현도면 노산리 600", "지도Link")</f>
        <v/>
      </c>
      <c r="N3319" s="6">
        <f>HYPERLINK("http://www.eum.go.kr/web/ar/lu/luLandDet.jsp?pnu=4311232030106000000&amp;isNoScr=script&amp;mode=search", "토지이음")</f>
        <v/>
      </c>
      <c r="O3319" s="3" t="inlineStr">
        <is>
          <t>복돼지</t>
        </is>
      </c>
      <c r="P3319" s="4" t="n">
        <v>1</v>
      </c>
      <c r="Q3319" s="4" t="n">
        <v>2960</v>
      </c>
      <c r="R3319" s="3" t="inlineStr">
        <is>
          <t>지정되지않음</t>
        </is>
      </c>
      <c r="S3319" s="3" t="inlineStr">
        <is>
          <t>전</t>
        </is>
      </c>
      <c r="T3319" s="3" t="inlineStr">
        <is>
          <t>평지</t>
        </is>
      </c>
      <c r="U3319" s="3" t="inlineStr">
        <is>
          <t>부정형</t>
        </is>
      </c>
      <c r="V3319" s="3" t="inlineStr">
        <is>
          <t>세로한면(가)</t>
        </is>
      </c>
    </row>
    <row r="3320">
      <c r="A3320" s="3" t="inlineStr">
        <is>
          <t>현도면 노산리 600</t>
        </is>
      </c>
      <c r="B3320" s="3" t="inlineStr">
        <is>
          <t>개발제한구역</t>
        </is>
      </c>
      <c r="C3320" s="3" t="inlineStr">
        <is>
          <t>전</t>
        </is>
      </c>
      <c r="D3320" s="3" t="inlineStr">
        <is>
          <t>전</t>
        </is>
      </c>
      <c r="E3320" s="3" t="inlineStr">
        <is>
          <t>매매</t>
        </is>
      </c>
      <c r="F3320" s="4" t="n">
        <v>32000</v>
      </c>
      <c r="G3320" s="4" t="n">
        <v>2960</v>
      </c>
      <c r="H3320" s="4" t="n">
        <v>895</v>
      </c>
      <c r="I3320" s="5" t="n">
        <v>35.8</v>
      </c>
      <c r="J3320" s="5" t="n">
        <v>20.6</v>
      </c>
      <c r="K3320" s="3" t="inlineStr">
        <is>
          <t>햇볕이 잘들고 공기가 좋은 농지로 현재 전으로 사용, 신탄진에서 10분</t>
        </is>
      </c>
      <c r="L3320" s="6">
        <f>HYPERLINK("https://fin.land.naver.com/articles/2654904918", "매물Link")</f>
        <v/>
      </c>
      <c r="M3320" s="6">
        <f>HYPERLINK("https://map.naver.com/p/search/현도면 노산리 600", "지도Link")</f>
        <v/>
      </c>
      <c r="N3320" s="6">
        <f>HYPERLINK("http://www.eum.go.kr/web/ar/lu/luLandDet.jsp?pnu=4311232030106000000&amp;isNoScr=script&amp;mode=search", "토지이음")</f>
        <v/>
      </c>
      <c r="O3320" s="3" t="inlineStr">
        <is>
          <t>대전토지로무소</t>
        </is>
      </c>
      <c r="P3320" s="4" t="n">
        <v>1</v>
      </c>
      <c r="Q3320" s="4" t="n">
        <v>2960</v>
      </c>
      <c r="R3320" s="3" t="inlineStr">
        <is>
          <t>지정되지않음</t>
        </is>
      </c>
      <c r="S3320" s="3" t="inlineStr">
        <is>
          <t>전</t>
        </is>
      </c>
      <c r="T3320" s="3" t="inlineStr">
        <is>
          <t>평지</t>
        </is>
      </c>
      <c r="U3320" s="3" t="inlineStr">
        <is>
          <t>부정형</t>
        </is>
      </c>
      <c r="V3320" s="3" t="inlineStr">
        <is>
          <t>세로한면(가)</t>
        </is>
      </c>
    </row>
    <row r="3321">
      <c r="A3321" s="3" t="inlineStr">
        <is>
          <t>현도면 노산리 65-3</t>
        </is>
      </c>
      <c r="B3321" s="3" t="inlineStr">
        <is>
          <t>자연녹지지역</t>
        </is>
      </c>
      <c r="C3321" s="3" t="inlineStr">
        <is>
          <t>대</t>
        </is>
      </c>
      <c r="D3321" s="3" t="inlineStr">
        <is>
          <t>대</t>
        </is>
      </c>
      <c r="E3321" s="3" t="inlineStr">
        <is>
          <t>매매</t>
        </is>
      </c>
      <c r="F3321" s="4" t="n">
        <v>34800</v>
      </c>
      <c r="G3321" s="4" t="n">
        <v>884</v>
      </c>
      <c r="H3321" s="4" t="n">
        <v>267</v>
      </c>
      <c r="I3321" s="5" t="n">
        <v>130.3</v>
      </c>
      <c r="J3321" s="5" t="n">
        <v>50.3</v>
      </c>
      <c r="K3321" s="3" t="inlineStr">
        <is>
          <t>대청댐 인근, 신탄진네거리에서 차량으로 5분 거리</t>
        </is>
      </c>
      <c r="L3321" s="6">
        <f>HYPERLINK("https://fin.land.naver.com/articles/2651588237", "매물Link")</f>
        <v/>
      </c>
      <c r="M3321" s="6">
        <f>HYPERLINK("https://map.naver.com/p/search/현도면 노산리 65-3", "지도Link")</f>
        <v/>
      </c>
      <c r="N3321" s="6">
        <f>HYPERLINK("http://www.eum.go.kr/web/ar/lu/luLandDet.jsp?pnu=4311232030100650003&amp;isNoScr=script&amp;mode=search", "토지이음")</f>
        <v/>
      </c>
      <c r="O3321" s="3" t="inlineStr">
        <is>
          <t>대지</t>
        </is>
      </c>
      <c r="P3321" s="4" t="n">
        <v>1</v>
      </c>
      <c r="Q3321" s="4" t="n">
        <v>350</v>
      </c>
      <c r="R3321" s="3" t="inlineStr">
        <is>
          <t>지정되지않음</t>
        </is>
      </c>
      <c r="S3321" s="3" t="inlineStr">
        <is>
          <t>단독</t>
        </is>
      </c>
      <c r="T3321" s="3" t="inlineStr">
        <is>
          <t>평지</t>
        </is>
      </c>
      <c r="U3321" s="3" t="inlineStr">
        <is>
          <t>부정형</t>
        </is>
      </c>
      <c r="V3321" s="3" t="inlineStr">
        <is>
          <t>세로한면(가)</t>
        </is>
      </c>
    </row>
    <row r="3322">
      <c r="A3322" s="3" t="inlineStr">
        <is>
          <t>현도면 노산리 693-8</t>
        </is>
      </c>
      <c r="B3322" s="3" t="inlineStr">
        <is>
          <t>제1종일반주거지역</t>
        </is>
      </c>
      <c r="C3322" s="3" t="inlineStr">
        <is>
          <t>대</t>
        </is>
      </c>
      <c r="D3322" s="3" t="inlineStr">
        <is>
          <t>대</t>
        </is>
      </c>
      <c r="E3322" s="3" t="inlineStr">
        <is>
          <t>매매</t>
        </is>
      </c>
      <c r="F3322" s="4" t="n">
        <v>80000</v>
      </c>
      <c r="G3322" s="4" t="n">
        <v>2674</v>
      </c>
      <c r="H3322" s="4" t="n">
        <v>809</v>
      </c>
      <c r="I3322" s="5" t="n">
        <v>98.90000000000001</v>
      </c>
      <c r="J3322" s="5" t="n">
        <v>66.2</v>
      </c>
      <c r="K3322" s="3" t="inlineStr">
        <is>
          <t>가격 좋고 위치 좋은 대지  답입니다</t>
        </is>
      </c>
      <c r="L3322" s="6">
        <f>HYPERLINK("https://fin.land.naver.com/articles/2653572344", "매물Link")</f>
        <v/>
      </c>
      <c r="M3322" s="6">
        <f>HYPERLINK("https://map.naver.com/p/search/현도면 노산리 693-8", "지도Link")</f>
        <v/>
      </c>
      <c r="N3322" s="6">
        <f>HYPERLINK("http://www.eum.go.kr/web/ar/lu/luLandDet.jsp?pnu=4311232030106930008&amp;isNoScr=script&amp;mode=search", "토지이음")</f>
        <v/>
      </c>
      <c r="O3322" s="3" t="inlineStr">
        <is>
          <t>대웅</t>
        </is>
      </c>
      <c r="P3322" s="4" t="n">
        <v>1</v>
      </c>
      <c r="Q3322" s="4" t="n">
        <v>261</v>
      </c>
      <c r="R3322" s="3" t="inlineStr">
        <is>
          <t>지정되지않음</t>
        </is>
      </c>
      <c r="S3322" s="3" t="inlineStr">
        <is>
          <t>단독</t>
        </is>
      </c>
      <c r="T3322" s="3" t="inlineStr">
        <is>
          <t>평지</t>
        </is>
      </c>
      <c r="U3322" s="3" t="inlineStr">
        <is>
          <t>사다리형</t>
        </is>
      </c>
      <c r="V3322" s="3" t="inlineStr">
        <is>
          <t>세로한면(가)</t>
        </is>
      </c>
    </row>
    <row r="3323">
      <c r="A3323" s="3" t="inlineStr">
        <is>
          <t>현도면 달계리 173</t>
        </is>
      </c>
      <c r="B3323" s="3" t="inlineStr">
        <is>
          <t>개발제한구역</t>
        </is>
      </c>
      <c r="C3323" s="3" t="inlineStr">
        <is>
          <t>답</t>
        </is>
      </c>
      <c r="D3323" s="3" t="inlineStr">
        <is>
          <t>답</t>
        </is>
      </c>
      <c r="E3323" s="3" t="inlineStr">
        <is>
          <t>매매</t>
        </is>
      </c>
      <c r="F3323" s="4" t="n">
        <v>25000</v>
      </c>
      <c r="G3323" s="4" t="n">
        <v>2080</v>
      </c>
      <c r="H3323" s="4" t="n">
        <v>629</v>
      </c>
      <c r="I3323" s="5" t="n">
        <v>39.7</v>
      </c>
      <c r="J3323" s="5" t="n">
        <v>13.2</v>
      </c>
      <c r="K3323" s="3" t="inlineStr">
        <is>
          <t>컨테이너 있는 주말농장 코너각지 해가 잘 들고 도로접 접근성 좋음</t>
        </is>
      </c>
      <c r="L3323" s="6">
        <f>HYPERLINK("https://fin.land.naver.com/articles/2654968391", "매물Link")</f>
        <v/>
      </c>
      <c r="M3323" s="6">
        <f>HYPERLINK("https://map.naver.com/p/search/현도면 달계리 173", "지도Link")</f>
        <v/>
      </c>
      <c r="N3323" s="6">
        <f>HYPERLINK("http://www.eum.go.kr/web/ar/lu/luLandDet.jsp?pnu=4311232031101730000&amp;isNoScr=script&amp;mode=search", "토지이음")</f>
        <v/>
      </c>
      <c r="O3323" s="3" t="inlineStr">
        <is>
          <t>대전토지로무소</t>
        </is>
      </c>
      <c r="P3323" s="4" t="n">
        <v>1</v>
      </c>
      <c r="Q3323" s="4" t="n">
        <v>2080</v>
      </c>
      <c r="R3323" s="3" t="inlineStr">
        <is>
          <t>지정되지않음</t>
        </is>
      </c>
      <c r="S3323" s="3" t="inlineStr">
        <is>
          <t>답</t>
        </is>
      </c>
      <c r="T3323" s="3" t="inlineStr">
        <is>
          <t>완경사</t>
        </is>
      </c>
      <c r="U3323" s="3" t="inlineStr">
        <is>
          <t>부정형</t>
        </is>
      </c>
      <c r="V3323" s="3" t="inlineStr">
        <is>
          <t>세로한면(가)</t>
        </is>
      </c>
    </row>
    <row r="3324">
      <c r="A3324" s="3" t="inlineStr">
        <is>
          <t>현도면 달계리 173</t>
        </is>
      </c>
      <c r="B3324" s="3" t="inlineStr">
        <is>
          <t>개발제한구역</t>
        </is>
      </c>
      <c r="C3324" s="3" t="inlineStr">
        <is>
          <t>답</t>
        </is>
      </c>
      <c r="D3324" s="3" t="inlineStr">
        <is>
          <t>답</t>
        </is>
      </c>
      <c r="E3324" s="3" t="inlineStr">
        <is>
          <t>매매</t>
        </is>
      </c>
      <c r="F3324" s="4" t="n">
        <v>25200</v>
      </c>
      <c r="G3324" s="4" t="n">
        <v>2080</v>
      </c>
      <c r="H3324" s="4" t="n">
        <v>629</v>
      </c>
      <c r="I3324" s="5" t="n">
        <v>40.1</v>
      </c>
      <c r="J3324" s="5" t="n">
        <v>13.2</v>
      </c>
      <c r="K3324" s="3" t="inlineStr">
        <is>
          <t>도로인접, 코너각지, 지형이 좋은 토지</t>
        </is>
      </c>
      <c r="L3324" s="6">
        <f>HYPERLINK("https://fin.land.naver.com/articles/2651028521", "매물Link")</f>
        <v/>
      </c>
      <c r="M3324" s="6">
        <f>HYPERLINK("https://map.naver.com/p/search/현도면 달계리 173", "지도Link")</f>
        <v/>
      </c>
      <c r="N3324" s="6">
        <f>HYPERLINK("http://www.eum.go.kr/web/ar/lu/luLandDet.jsp?pnu=4311232031101730000&amp;isNoScr=script&amp;mode=search", "토지이음")</f>
        <v/>
      </c>
      <c r="O3324" s="3" t="inlineStr">
        <is>
          <t>대지</t>
        </is>
      </c>
      <c r="P3324" s="4" t="n">
        <v>2</v>
      </c>
      <c r="Q3324" s="4" t="n">
        <v>2080</v>
      </c>
      <c r="R3324" s="3" t="inlineStr">
        <is>
          <t>지정되지않음</t>
        </is>
      </c>
      <c r="S3324" s="3" t="inlineStr">
        <is>
          <t>답</t>
        </is>
      </c>
      <c r="T3324" s="3" t="inlineStr">
        <is>
          <t>완경사</t>
        </is>
      </c>
      <c r="U3324" s="3" t="inlineStr">
        <is>
          <t>부정형</t>
        </is>
      </c>
      <c r="V3324" s="3" t="inlineStr">
        <is>
          <t>세로한면(가)</t>
        </is>
      </c>
    </row>
    <row r="3325">
      <c r="A3325" s="3" t="inlineStr">
        <is>
          <t>현도면 달계리 269-1</t>
        </is>
      </c>
      <c r="B3325" s="3" t="inlineStr">
        <is>
          <t>개발제한구역</t>
        </is>
      </c>
      <c r="C3325" s="3" t="inlineStr">
        <is>
          <t>임야</t>
        </is>
      </c>
      <c r="D3325" s="3" t="inlineStr">
        <is>
          <t>임야</t>
        </is>
      </c>
      <c r="E3325" s="3" t="inlineStr">
        <is>
          <t>매매</t>
        </is>
      </c>
      <c r="F3325" s="4" t="n">
        <v>12500</v>
      </c>
      <c r="G3325" s="4" t="n">
        <v>6851</v>
      </c>
      <c r="H3325" s="4" t="n">
        <v>2072</v>
      </c>
      <c r="I3325" s="5" t="n">
        <v>6</v>
      </c>
      <c r="J3325" s="5" t="n">
        <v>2.1</v>
      </c>
      <c r="K3325" s="3" t="inlineStr">
        <is>
          <t>도로에 붙은 임</t>
        </is>
      </c>
      <c r="L3325" s="6">
        <f>HYPERLINK("https://fin.land.naver.com/articles/2651418962", "매물Link")</f>
        <v/>
      </c>
      <c r="M3325" s="6">
        <f>HYPERLINK("https://map.naver.com/p/search/현도면 달계리 269-1", "지도Link")</f>
        <v/>
      </c>
      <c r="N3325" s="6">
        <f>HYPERLINK("http://www.eum.go.kr/web/ar/lu/luLandDet.jsp?pnu=4311232031102690001&amp;isNoScr=script&amp;mode=search", "토지이음")</f>
        <v/>
      </c>
      <c r="O3325" s="3" t="inlineStr">
        <is>
          <t>오송이가</t>
        </is>
      </c>
      <c r="P3325" s="4" t="n">
        <v>1</v>
      </c>
      <c r="Q3325" s="4" t="n">
        <v>6851</v>
      </c>
      <c r="R3325" s="3" t="inlineStr">
        <is>
          <t>자연녹지지역</t>
        </is>
      </c>
      <c r="S3325" s="3" t="inlineStr">
        <is>
          <t>임야기타</t>
        </is>
      </c>
      <c r="T3325" s="3" t="inlineStr">
        <is>
          <t>완경사</t>
        </is>
      </c>
      <c r="U3325" s="3" t="inlineStr">
        <is>
          <t>부정형</t>
        </is>
      </c>
      <c r="V3325" s="3" t="inlineStr">
        <is>
          <t>소로한면</t>
        </is>
      </c>
    </row>
    <row r="3326">
      <c r="A3326" s="3" t="inlineStr">
        <is>
          <t>현도면 달계리 589</t>
        </is>
      </c>
      <c r="B3326" s="3" t="inlineStr">
        <is>
          <t>제1종일반주거지역</t>
        </is>
      </c>
      <c r="C3326" s="3" t="inlineStr">
        <is>
          <t>답</t>
        </is>
      </c>
      <c r="D3326" s="3" t="inlineStr">
        <is>
          <t>답</t>
        </is>
      </c>
      <c r="E3326" s="3" t="inlineStr">
        <is>
          <t>매매</t>
        </is>
      </c>
      <c r="F3326" s="4" t="n">
        <v>400000</v>
      </c>
      <c r="G3326" s="4" t="n">
        <v>5014</v>
      </c>
      <c r="H3326" s="4" t="n">
        <v>1517</v>
      </c>
      <c r="I3326" s="5" t="n">
        <v>263.7</v>
      </c>
      <c r="J3326" s="5" t="n">
        <v>75.2</v>
      </c>
      <c r="K3326" s="3" t="inlineStr">
        <is>
          <t>7차선 도로접, 최고의 입지, 제조업 및 근생용 토지 매매</t>
        </is>
      </c>
      <c r="L3326" s="6">
        <f>HYPERLINK("https://fin.land.naver.com/articles/2655232623", "매물Link")</f>
        <v/>
      </c>
      <c r="M3326" s="6">
        <f>HYPERLINK("https://map.naver.com/p/search/현도면 달계리 589", "지도Link")</f>
        <v/>
      </c>
      <c r="N3326" s="6">
        <f>HYPERLINK("http://www.eum.go.kr/web/ar/lu/luLandDet.jsp?pnu=4311232031105890000&amp;isNoScr=script&amp;mode=search", "토지이음")</f>
        <v/>
      </c>
      <c r="O3326" s="3" t="inlineStr">
        <is>
          <t>금화랜드</t>
        </is>
      </c>
      <c r="P3326" s="4" t="n">
        <v>1</v>
      </c>
      <c r="Q3326" s="4" t="n">
        <v>5014.2</v>
      </c>
      <c r="R3326" s="3" t="inlineStr">
        <is>
          <t>지정되지않음</t>
        </is>
      </c>
      <c r="S3326" s="3" t="inlineStr">
        <is>
          <t>답</t>
        </is>
      </c>
      <c r="T3326" s="3" t="inlineStr">
        <is>
          <t>평지</t>
        </is>
      </c>
      <c r="U3326" s="3" t="inlineStr">
        <is>
          <t>사다리형</t>
        </is>
      </c>
      <c r="V3326" s="3" t="inlineStr">
        <is>
          <t>중로한면</t>
        </is>
      </c>
    </row>
    <row r="3327">
      <c r="A3327" s="3" t="inlineStr">
        <is>
          <t>현도면 달계리 67</t>
        </is>
      </c>
      <c r="B3327" s="3" t="inlineStr">
        <is>
          <t>개발제한구역</t>
        </is>
      </c>
      <c r="C3327" s="3" t="inlineStr">
        <is>
          <t>답</t>
        </is>
      </c>
      <c r="D3327" s="3" t="inlineStr">
        <is>
          <t>대</t>
        </is>
      </c>
      <c r="E3327" s="3" t="inlineStr">
        <is>
          <t>매매</t>
        </is>
      </c>
      <c r="F3327" s="4" t="n">
        <v>30000</v>
      </c>
      <c r="G3327" s="4" t="n">
        <v>2914</v>
      </c>
      <c r="H3327" s="4" t="n">
        <v>881</v>
      </c>
      <c r="I3327" s="5" t="n">
        <v>34.1</v>
      </c>
      <c r="J3327" s="5" t="n">
        <v>17.2</v>
      </c>
      <c r="K3327" s="3" t="inlineStr">
        <is>
          <t>개발 제한구역 답 대토 가능합니다.</t>
        </is>
      </c>
      <c r="L3327" s="6">
        <f>HYPERLINK("https://fin.land.naver.com/articles/2654579684", "매물Link")</f>
        <v/>
      </c>
      <c r="M3327" s="6">
        <f>HYPERLINK("https://map.naver.com/p/search/현도면 달계리 67", "지도Link")</f>
        <v/>
      </c>
      <c r="N3327" s="6">
        <f>HYPERLINK("http://www.eum.go.kr/web/ar/lu/luLandDet.jsp?pnu=4311232031100670000&amp;isNoScr=script&amp;mode=search", "토지이음")</f>
        <v/>
      </c>
      <c r="O3327" s="3" t="inlineStr">
        <is>
          <t>한평</t>
        </is>
      </c>
      <c r="P3327" s="4" t="n">
        <v>1</v>
      </c>
      <c r="Q3327" s="4" t="n">
        <v>2914</v>
      </c>
      <c r="R3327" s="3" t="inlineStr">
        <is>
          <t>지정되지않음</t>
        </is>
      </c>
      <c r="S3327" s="3" t="inlineStr">
        <is>
          <t>답</t>
        </is>
      </c>
      <c r="T3327" s="3" t="inlineStr">
        <is>
          <t>완경사</t>
        </is>
      </c>
      <c r="U3327" s="3" t="inlineStr">
        <is>
          <t>부정형</t>
        </is>
      </c>
      <c r="V3327" s="3" t="inlineStr">
        <is>
          <t>소로한면</t>
        </is>
      </c>
    </row>
    <row r="3328">
      <c r="A3328" s="3" t="inlineStr">
        <is>
          <t>현도면 달계리 산84-4</t>
        </is>
      </c>
      <c r="B3328" s="3" t="inlineStr">
        <is>
          <t>개발제한구역</t>
        </is>
      </c>
      <c r="C3328" s="3" t="inlineStr">
        <is>
          <t>임야</t>
        </is>
      </c>
      <c r="D3328" s="3" t="inlineStr">
        <is>
          <t>임야</t>
        </is>
      </c>
      <c r="E3328" s="3" t="inlineStr">
        <is>
          <t>매매</t>
        </is>
      </c>
      <c r="F3328" s="4" t="n">
        <v>32000</v>
      </c>
      <c r="G3328" s="4" t="n">
        <v>3306</v>
      </c>
      <c r="H3328" s="4" t="n">
        <v>1000</v>
      </c>
      <c r="I3328" s="5" t="n">
        <v>32</v>
      </c>
      <c r="J3328" s="5" t="n">
        <v>1.9</v>
      </c>
      <c r="K3328" s="3" t="inlineStr">
        <is>
          <t>nan</t>
        </is>
      </c>
      <c r="L3328" s="6">
        <f>HYPERLINK("https://fin.land.naver.com/articles/2651730630", "매물Link")</f>
        <v/>
      </c>
      <c r="M3328" s="6">
        <f>HYPERLINK("https://map.naver.com/p/search/현도면 달계리 산84-4", "지도Link")</f>
        <v/>
      </c>
      <c r="N3328" s="6">
        <f>HYPERLINK("http://www.eum.go.kr/web/ar/lu/luLandDet.jsp?pnu=4311232031200840004&amp;isNoScr=script&amp;mode=search", "토지이음")</f>
        <v/>
      </c>
      <c r="O3328" s="3" t="inlineStr">
        <is>
          <t>우리동네</t>
        </is>
      </c>
      <c r="P3328" s="4" t="n">
        <v>1</v>
      </c>
      <c r="Q3328" s="4" t="n">
        <v>2562</v>
      </c>
      <c r="R3328" s="3" t="inlineStr">
        <is>
          <t>지정되지않음</t>
        </is>
      </c>
      <c r="S3328" s="3" t="inlineStr">
        <is>
          <t>자연림</t>
        </is>
      </c>
      <c r="T3328" s="3" t="inlineStr">
        <is>
          <t>완경사</t>
        </is>
      </c>
      <c r="U3328" s="3" t="inlineStr">
        <is>
          <t>부정형</t>
        </is>
      </c>
      <c r="V3328" s="3" t="inlineStr">
        <is>
          <t>세로한면(불)</t>
        </is>
      </c>
    </row>
    <row r="3329">
      <c r="A3329" s="3" t="inlineStr">
        <is>
          <t>현도면 매봉리 224-12</t>
        </is>
      </c>
      <c r="B3329" s="3" t="inlineStr">
        <is>
          <t>일반상업지역</t>
        </is>
      </c>
      <c r="C3329" s="3" t="inlineStr">
        <is>
          <t>대</t>
        </is>
      </c>
      <c r="D3329" s="3" t="inlineStr">
        <is>
          <t>대</t>
        </is>
      </c>
      <c r="E3329" s="3" t="inlineStr">
        <is>
          <t>매매</t>
        </is>
      </c>
      <c r="F3329" s="4" t="n">
        <v>95000</v>
      </c>
      <c r="G3329" s="4" t="n">
        <v>576</v>
      </c>
      <c r="H3329" s="4" t="n">
        <v>174</v>
      </c>
      <c r="I3329" s="5" t="n">
        <v>546</v>
      </c>
      <c r="J3329" s="5" t="n">
        <v>88.5</v>
      </c>
      <c r="K3329" s="3" t="inlineStr">
        <is>
          <t>충북 청주 서원구 현도면 주택 포함 땅 투자할분 추천</t>
        </is>
      </c>
      <c r="L3329" s="6">
        <f>HYPERLINK("https://fin.land.naver.com/articles/2656393382", "매물Link")</f>
        <v/>
      </c>
      <c r="M3329" s="6">
        <f>HYPERLINK("https://map.naver.com/p/search/현도면 매봉리 224-12", "지도Link")</f>
        <v/>
      </c>
      <c r="N3329" s="6">
        <f>HYPERLINK("http://www.eum.go.kr/web/ar/lu/luLandDet.jsp?pnu=4311232032102240012&amp;isNoScr=script&amp;mode=search", "토지이음")</f>
        <v/>
      </c>
      <c r="O3329" s="3" t="inlineStr">
        <is>
          <t>신도시</t>
        </is>
      </c>
      <c r="P3329" s="4" t="n">
        <v>1</v>
      </c>
      <c r="Q3329" s="4" t="n">
        <v>576</v>
      </c>
      <c r="R3329" s="3" t="inlineStr">
        <is>
          <t>지정되지않음</t>
        </is>
      </c>
      <c r="S3329" s="3" t="inlineStr">
        <is>
          <t>단독</t>
        </is>
      </c>
      <c r="T3329" s="3" t="inlineStr">
        <is>
          <t>평지</t>
        </is>
      </c>
      <c r="U3329" s="3" t="inlineStr">
        <is>
          <t>사다리형</t>
        </is>
      </c>
      <c r="V3329" s="3" t="inlineStr">
        <is>
          <t>세로한면(가)</t>
        </is>
      </c>
    </row>
    <row r="3330">
      <c r="A3330" s="3" t="inlineStr">
        <is>
          <t>현도면 매봉리 248-5</t>
        </is>
      </c>
      <c r="B3330" s="3" t="inlineStr">
        <is>
          <t>제1종일반주거지역</t>
        </is>
      </c>
      <c r="C3330" s="3" t="inlineStr">
        <is>
          <t>대</t>
        </is>
      </c>
      <c r="D3330" s="3" t="inlineStr">
        <is>
          <t>대</t>
        </is>
      </c>
      <c r="E3330" s="3" t="inlineStr">
        <is>
          <t>매매</t>
        </is>
      </c>
      <c r="F3330" s="4" t="n">
        <v>21000</v>
      </c>
      <c r="G3330" s="4" t="n">
        <v>359</v>
      </c>
      <c r="H3330" s="4" t="n">
        <v>109</v>
      </c>
      <c r="I3330" s="5" t="n">
        <v>192.7</v>
      </c>
      <c r="J3330" s="5" t="n">
        <v>90</v>
      </c>
      <c r="K3330" s="3" t="inlineStr">
        <is>
          <t>교통 편리한 지역 주택 및 창고 용지 적합한 나대지 매매</t>
        </is>
      </c>
      <c r="L3330" s="6">
        <f>HYPERLINK("https://fin.land.naver.com/articles/2651933999", "매물Link")</f>
        <v/>
      </c>
      <c r="M3330" s="6">
        <f>HYPERLINK("https://map.naver.com/p/search/현도면 매봉리 248-5", "지도Link")</f>
        <v/>
      </c>
      <c r="N3330" s="6">
        <f>HYPERLINK("http://www.eum.go.kr/web/ar/lu/luLandDet.jsp?pnu=4311232032102480005&amp;isNoScr=script&amp;mode=search", "토지이음")</f>
        <v/>
      </c>
      <c r="O3330" s="3" t="inlineStr">
        <is>
          <t>대전토지로무소</t>
        </is>
      </c>
      <c r="P3330" s="4" t="n">
        <v>1</v>
      </c>
      <c r="Q3330" s="4" t="n">
        <v>359</v>
      </c>
      <c r="R3330" s="3" t="inlineStr">
        <is>
          <t>지정되지않음</t>
        </is>
      </c>
      <c r="S3330" s="3" t="inlineStr">
        <is>
          <t>단독</t>
        </is>
      </c>
      <c r="T3330" s="3" t="inlineStr">
        <is>
          <t>평지</t>
        </is>
      </c>
      <c r="U3330" s="3" t="inlineStr">
        <is>
          <t>부정형</t>
        </is>
      </c>
      <c r="V3330" s="3" t="inlineStr">
        <is>
          <t>세로각지(가)</t>
        </is>
      </c>
    </row>
    <row r="3331">
      <c r="A3331" s="3" t="inlineStr">
        <is>
          <t>현도면 매봉리 269-1</t>
        </is>
      </c>
      <c r="B3331" s="3" t="inlineStr">
        <is>
          <t>제2종일반주거지역</t>
        </is>
      </c>
      <c r="C3331" s="3" t="inlineStr">
        <is>
          <t>창고용지</t>
        </is>
      </c>
      <c r="D3331" s="3" t="inlineStr">
        <is>
          <t>창고용지</t>
        </is>
      </c>
      <c r="E3331" s="3" t="inlineStr">
        <is>
          <t>매매</t>
        </is>
      </c>
      <c r="F3331" s="4" t="n">
        <v>420000</v>
      </c>
      <c r="G3331" s="4" t="n">
        <v>3933</v>
      </c>
      <c r="H3331" s="4" t="n">
        <v>1190</v>
      </c>
      <c r="I3331" s="5" t="n">
        <v>352.9</v>
      </c>
      <c r="J3331" s="5" t="n">
        <v>84.90000000000001</v>
      </c>
      <c r="K3331" s="3" t="inlineStr">
        <is>
          <t>신탄진IC,남청주IC 가깝고 6차선 대로변에 위치, 광고효과 최고</t>
        </is>
      </c>
      <c r="L3331" s="6">
        <f>HYPERLINK("https://fin.land.naver.com/articles/2654290590", "매물Link")</f>
        <v/>
      </c>
      <c r="M3331" s="6">
        <f>HYPERLINK("https://map.naver.com/p/search/현도면 매봉리 269-1", "지도Link")</f>
        <v/>
      </c>
      <c r="N3331" s="6">
        <f>HYPERLINK("http://www.eum.go.kr/web/ar/lu/luLandDet.jsp?pnu=4311232032102690001&amp;isNoScr=script&amp;mode=search", "토지이음")</f>
        <v/>
      </c>
      <c r="O3331" s="3" t="inlineStr">
        <is>
          <t>(주)미르</t>
        </is>
      </c>
      <c r="P3331" s="4" t="n">
        <v>1</v>
      </c>
      <c r="Q3331" s="4" t="n">
        <v>1479</v>
      </c>
      <c r="R3331" s="3" t="inlineStr">
        <is>
          <t>지정되지않음</t>
        </is>
      </c>
      <c r="S3331" s="3" t="inlineStr">
        <is>
          <t>공업기타</t>
        </is>
      </c>
      <c r="T3331" s="3" t="inlineStr">
        <is>
          <t>평지</t>
        </is>
      </c>
      <c r="U3331" s="3" t="inlineStr">
        <is>
          <t>부정형</t>
        </is>
      </c>
      <c r="V3331" s="3" t="inlineStr">
        <is>
          <t>소로한면</t>
        </is>
      </c>
    </row>
    <row r="3332">
      <c r="A3332" s="3" t="inlineStr">
        <is>
          <t>현도면 매봉리 269-1</t>
        </is>
      </c>
      <c r="B3332" s="3" t="inlineStr">
        <is>
          <t>제2종일반주거지역</t>
        </is>
      </c>
      <c r="C3332" s="3" t="inlineStr">
        <is>
          <t>창고용지</t>
        </is>
      </c>
      <c r="D3332" s="3" t="inlineStr">
        <is>
          <t>대</t>
        </is>
      </c>
      <c r="E3332" s="3" t="inlineStr">
        <is>
          <t>매매</t>
        </is>
      </c>
      <c r="F3332" s="4" t="n">
        <v>420000</v>
      </c>
      <c r="G3332" s="4" t="n">
        <v>3934</v>
      </c>
      <c r="H3332" s="4" t="n">
        <v>1190</v>
      </c>
      <c r="I3332" s="5" t="n">
        <v>352.9</v>
      </c>
      <c r="J3332" s="5" t="n">
        <v>84.90000000000001</v>
      </c>
      <c r="K3332" s="3" t="inlineStr">
        <is>
          <t>6차선 접한 창고 있는 토지, 광고효과 최상의 토지매매</t>
        </is>
      </c>
      <c r="L3332" s="6">
        <f>HYPERLINK("https://fin.land.naver.com/articles/2656550018", "매물Link")</f>
        <v/>
      </c>
      <c r="M3332" s="6">
        <f>HYPERLINK("https://map.naver.com/p/search/현도면 매봉리 269-1", "지도Link")</f>
        <v/>
      </c>
      <c r="N3332" s="6">
        <f>HYPERLINK("http://www.eum.go.kr/web/ar/lu/luLandDet.jsp?pnu=4311232032102690001&amp;isNoScr=script&amp;mode=search", "토지이음")</f>
        <v/>
      </c>
      <c r="O3332" s="3" t="inlineStr">
        <is>
          <t>금화랜드</t>
        </is>
      </c>
      <c r="P3332" s="4" t="n">
        <v>1</v>
      </c>
      <c r="Q3332" s="4" t="n">
        <v>1479</v>
      </c>
      <c r="R3332" s="3" t="inlineStr">
        <is>
          <t>지정되지않음</t>
        </is>
      </c>
      <c r="S3332" s="3" t="inlineStr">
        <is>
          <t>공업기타</t>
        </is>
      </c>
      <c r="T3332" s="3" t="inlineStr">
        <is>
          <t>평지</t>
        </is>
      </c>
      <c r="U3332" s="3" t="inlineStr">
        <is>
          <t>부정형</t>
        </is>
      </c>
      <c r="V3332" s="3" t="inlineStr">
        <is>
          <t>소로한면</t>
        </is>
      </c>
    </row>
    <row r="3333">
      <c r="A3333" s="3" t="inlineStr">
        <is>
          <t>현도면 매봉리 269-1</t>
        </is>
      </c>
      <c r="B3333" s="3" t="inlineStr">
        <is>
          <t>제2종일반주거지역</t>
        </is>
      </c>
      <c r="C3333" s="3" t="inlineStr">
        <is>
          <t>창고용지</t>
        </is>
      </c>
      <c r="D3333" s="3" t="inlineStr">
        <is>
          <t>대</t>
        </is>
      </c>
      <c r="E3333" s="3" t="inlineStr">
        <is>
          <t>매매</t>
        </is>
      </c>
      <c r="F3333" s="4" t="n">
        <v>420000</v>
      </c>
      <c r="G3333" s="4" t="n">
        <v>3934</v>
      </c>
      <c r="H3333" s="4" t="n">
        <v>1190</v>
      </c>
      <c r="I3333" s="5" t="n">
        <v>352.9</v>
      </c>
      <c r="J3333" s="5" t="n">
        <v>84.90000000000001</v>
      </c>
      <c r="K3333" s="3" t="inlineStr">
        <is>
          <t>즉시사용가능 4차선 대도로 광고 전시 효과 최상 회사 사옥  전시장 부지</t>
        </is>
      </c>
      <c r="L3333" s="6">
        <f>HYPERLINK("https://fin.land.naver.com/articles/2651939280", "매물Link")</f>
        <v/>
      </c>
      <c r="M3333" s="6">
        <f>HYPERLINK("https://map.naver.com/p/search/현도면 매봉리 269-1", "지도Link")</f>
        <v/>
      </c>
      <c r="N3333" s="6">
        <f>HYPERLINK("http://www.eum.go.kr/web/ar/lu/luLandDet.jsp?pnu=4311232032102690001&amp;isNoScr=script&amp;mode=search", "토지이음")</f>
        <v/>
      </c>
      <c r="O3333" s="3" t="inlineStr">
        <is>
          <t>대전토지로무소</t>
        </is>
      </c>
      <c r="P3333" s="4" t="n">
        <v>1</v>
      </c>
      <c r="Q3333" s="4" t="n">
        <v>1479</v>
      </c>
      <c r="R3333" s="3" t="inlineStr">
        <is>
          <t>지정되지않음</t>
        </is>
      </c>
      <c r="S3333" s="3" t="inlineStr">
        <is>
          <t>공업기타</t>
        </is>
      </c>
      <c r="T3333" s="3" t="inlineStr">
        <is>
          <t>평지</t>
        </is>
      </c>
      <c r="U3333" s="3" t="inlineStr">
        <is>
          <t>부정형</t>
        </is>
      </c>
      <c r="V3333" s="3" t="inlineStr">
        <is>
          <t>소로한면</t>
        </is>
      </c>
    </row>
    <row r="3334">
      <c r="A3334" s="3" t="inlineStr">
        <is>
          <t>현도면 매봉리 269-11</t>
        </is>
      </c>
      <c r="B3334" s="3" t="inlineStr">
        <is>
          <t>제2종일반주거지역</t>
        </is>
      </c>
      <c r="C3334" s="3" t="inlineStr">
        <is>
          <t>창고용지</t>
        </is>
      </c>
      <c r="D3334" s="3" t="inlineStr">
        <is>
          <t>창고용지</t>
        </is>
      </c>
      <c r="E3334" s="3" t="inlineStr">
        <is>
          <t>매매</t>
        </is>
      </c>
      <c r="F3334" s="4" t="n">
        <v>250000</v>
      </c>
      <c r="G3334" s="4" t="n">
        <v>2682</v>
      </c>
      <c r="H3334" s="4" t="n">
        <v>811</v>
      </c>
      <c r="I3334" s="5" t="n">
        <v>308.3</v>
      </c>
      <c r="J3334" s="5" t="n">
        <v>95.2</v>
      </c>
      <c r="K3334" s="3" t="inlineStr">
        <is>
          <t>창고,공장,사옥,전시장,프렌차이즈,대형카페 등으로 추천,차량 진출입 편리</t>
        </is>
      </c>
      <c r="L3334" s="6">
        <f>HYPERLINK("https://fin.land.naver.com/articles/2653723517", "매물Link")</f>
        <v/>
      </c>
      <c r="M3334" s="6">
        <f>HYPERLINK("https://map.naver.com/p/search/현도면 매봉리 269-11", "지도Link")</f>
        <v/>
      </c>
      <c r="N3334" s="6">
        <f>HYPERLINK("http://www.eum.go.kr/web/ar/lu/luLandDet.jsp?pnu=4311232032102690011&amp;isNoScr=script&amp;mode=search", "토지이음")</f>
        <v/>
      </c>
      <c r="O3334" s="3" t="inlineStr">
        <is>
          <t>금화랜드</t>
        </is>
      </c>
      <c r="P3334" s="4" t="n">
        <v>1</v>
      </c>
      <c r="Q3334" s="4" t="n">
        <v>1917</v>
      </c>
      <c r="R3334" s="3" t="inlineStr">
        <is>
          <t>지정되지않음</t>
        </is>
      </c>
      <c r="S3334" s="3" t="inlineStr">
        <is>
          <t>공업기타</t>
        </is>
      </c>
      <c r="T3334" s="3" t="inlineStr">
        <is>
          <t>평지</t>
        </is>
      </c>
      <c r="U3334" s="3" t="inlineStr">
        <is>
          <t>사다리형</t>
        </is>
      </c>
      <c r="V3334" s="3" t="inlineStr">
        <is>
          <t>중로한면</t>
        </is>
      </c>
    </row>
    <row r="3335">
      <c r="A3335" s="3" t="inlineStr">
        <is>
          <t>현도면 매봉리 311</t>
        </is>
      </c>
      <c r="B3335" s="3" t="inlineStr">
        <is>
          <t>제1종일반주거지역</t>
        </is>
      </c>
      <c r="C3335" s="3" t="inlineStr">
        <is>
          <t>전</t>
        </is>
      </c>
      <c r="D3335" s="3" t="inlineStr">
        <is>
          <t>전</t>
        </is>
      </c>
      <c r="E3335" s="3" t="inlineStr">
        <is>
          <t>매매</t>
        </is>
      </c>
      <c r="F3335" s="4" t="n">
        <v>42000</v>
      </c>
      <c r="G3335" s="4" t="n">
        <v>1161</v>
      </c>
      <c r="H3335" s="4" t="n">
        <v>351</v>
      </c>
      <c r="I3335" s="5" t="n">
        <v>119.7</v>
      </c>
      <c r="J3335" s="5" t="n">
        <v>62.9</v>
      </c>
      <c r="K3335" s="3" t="inlineStr">
        <is>
          <t>창고 공장 투자 농작용</t>
        </is>
      </c>
      <c r="L3335" s="6">
        <f>HYPERLINK("https://fin.land.naver.com/articles/2653467727", "매물Link")</f>
        <v/>
      </c>
      <c r="M3335" s="6">
        <f>HYPERLINK("https://map.naver.com/p/search/현도면 매봉리 311", "지도Link")</f>
        <v/>
      </c>
      <c r="N3335" s="6">
        <f>HYPERLINK("http://www.eum.go.kr/web/ar/lu/luLandDet.jsp?pnu=4311232032103110000&amp;isNoScr=script&amp;mode=search", "토지이음")</f>
        <v/>
      </c>
      <c r="O3335" s="3" t="inlineStr">
        <is>
          <t>브라운스톤행복</t>
        </is>
      </c>
      <c r="P3335" s="4" t="n">
        <v>1</v>
      </c>
      <c r="Q3335" s="4" t="n">
        <v>50</v>
      </c>
      <c r="R3335" s="3" t="inlineStr">
        <is>
          <t>지정되지않음</t>
        </is>
      </c>
      <c r="S3335" s="3" t="inlineStr">
        <is>
          <t>전</t>
        </is>
      </c>
      <c r="T3335" s="3" t="inlineStr">
        <is>
          <t>평지</t>
        </is>
      </c>
      <c r="U3335" s="3" t="inlineStr">
        <is>
          <t>사다리형</t>
        </is>
      </c>
      <c r="V3335" s="3" t="inlineStr">
        <is>
          <t>세로한면(가)</t>
        </is>
      </c>
    </row>
    <row r="3336">
      <c r="A3336" s="3" t="inlineStr">
        <is>
          <t>현도면 상삼리 117-1</t>
        </is>
      </c>
      <c r="B3336" s="3" t="inlineStr">
        <is>
          <t>계획관리지역</t>
        </is>
      </c>
      <c r="C3336" s="3" t="inlineStr">
        <is>
          <t>답</t>
        </is>
      </c>
      <c r="D3336" s="3" t="inlineStr">
        <is>
          <t>답</t>
        </is>
      </c>
      <c r="E3336" s="3" t="inlineStr">
        <is>
          <t>매매</t>
        </is>
      </c>
      <c r="F3336" s="4" t="n">
        <v>380000</v>
      </c>
      <c r="G3336" s="4" t="n">
        <v>10496</v>
      </c>
      <c r="H3336" s="4" t="n">
        <v>3175</v>
      </c>
      <c r="I3336" s="5" t="n">
        <v>119.7</v>
      </c>
      <c r="J3336" s="5" t="n">
        <v>21.9</v>
      </c>
      <c r="K3336" s="3" t="inlineStr">
        <is>
          <t>남청주IC 인접한 토지 매매입니다.</t>
        </is>
      </c>
      <c r="L3336" s="6">
        <f>HYPERLINK("https://fin.land.naver.com/articles/2654924234", "매물Link")</f>
        <v/>
      </c>
      <c r="M3336" s="6">
        <f>HYPERLINK("https://map.naver.com/p/search/현도면 상삼리 117-1", "지도Link")</f>
        <v/>
      </c>
      <c r="N3336" s="6">
        <f>HYPERLINK("http://www.eum.go.kr/web/ar/lu/luLandDet.jsp?pnu=4311232021101170001&amp;isNoScr=script&amp;mode=search", "토지이음")</f>
        <v/>
      </c>
      <c r="O3336" s="3" t="inlineStr">
        <is>
          <t>테크노밸리  사무소</t>
        </is>
      </c>
      <c r="P3336" s="4" t="n">
        <v>1</v>
      </c>
      <c r="Q3336" s="4" t="n">
        <v>2251</v>
      </c>
      <c r="R3336" s="3" t="inlineStr">
        <is>
          <t>지정되지않음</t>
        </is>
      </c>
      <c r="S3336" s="3" t="inlineStr">
        <is>
          <t>답</t>
        </is>
      </c>
      <c r="T3336" s="3" t="inlineStr">
        <is>
          <t>완경사</t>
        </is>
      </c>
      <c r="U3336" s="3" t="inlineStr">
        <is>
          <t>부정형</t>
        </is>
      </c>
      <c r="V3336" s="3" t="inlineStr">
        <is>
          <t>세로한면(가)</t>
        </is>
      </c>
    </row>
    <row r="3337">
      <c r="A3337" s="3" t="inlineStr">
        <is>
          <t>현도면 상삼리 117-1</t>
        </is>
      </c>
      <c r="B3337" s="3" t="inlineStr">
        <is>
          <t>계획관리지역</t>
        </is>
      </c>
      <c r="C3337" s="3" t="inlineStr">
        <is>
          <t>답</t>
        </is>
      </c>
      <c r="D3337" s="3" t="inlineStr">
        <is>
          <t>답</t>
        </is>
      </c>
      <c r="E3337" s="3" t="inlineStr">
        <is>
          <t>매매</t>
        </is>
      </c>
      <c r="F3337" s="4" t="n">
        <v>412750</v>
      </c>
      <c r="G3337" s="4" t="n">
        <v>10495</v>
      </c>
      <c r="H3337" s="4" t="n">
        <v>3175</v>
      </c>
      <c r="I3337" s="5" t="n">
        <v>130</v>
      </c>
      <c r="J3337" s="5" t="n">
        <v>21.9</v>
      </c>
      <c r="K3337" s="3" t="inlineStr">
        <is>
          <t>nan</t>
        </is>
      </c>
      <c r="L3337" s="6">
        <f>HYPERLINK("https://fin.land.naver.com/articles/2655863274", "매물Link")</f>
        <v/>
      </c>
      <c r="M3337" s="6">
        <f>HYPERLINK("https://map.naver.com/p/search/현도면 상삼리 117-1", "지도Link")</f>
        <v/>
      </c>
      <c r="N3337" s="6">
        <f>HYPERLINK("http://www.eum.go.kr/web/ar/lu/luLandDet.jsp?pnu=4311232021101170001&amp;isNoScr=script&amp;mode=search", "토지이음")</f>
        <v/>
      </c>
      <c r="O3337" s="3" t="inlineStr">
        <is>
          <t>청주합동</t>
        </is>
      </c>
      <c r="P3337" s="4" t="n">
        <v>3</v>
      </c>
      <c r="Q3337" s="4" t="n">
        <v>2251</v>
      </c>
      <c r="R3337" s="3" t="inlineStr">
        <is>
          <t>지정되지않음</t>
        </is>
      </c>
      <c r="S3337" s="3" t="inlineStr">
        <is>
          <t>답</t>
        </is>
      </c>
      <c r="T3337" s="3" t="inlineStr">
        <is>
          <t>완경사</t>
        </is>
      </c>
      <c r="U3337" s="3" t="inlineStr">
        <is>
          <t>부정형</t>
        </is>
      </c>
      <c r="V3337" s="3" t="inlineStr">
        <is>
          <t>세로한면(가)</t>
        </is>
      </c>
    </row>
    <row r="3338">
      <c r="A3338" s="3" t="inlineStr">
        <is>
          <t>현도면 상삼리 117-1</t>
        </is>
      </c>
      <c r="B3338" s="3" t="inlineStr">
        <is>
          <t>계획관리지역</t>
        </is>
      </c>
      <c r="C3338" s="3" t="inlineStr">
        <is>
          <t>답</t>
        </is>
      </c>
      <c r="D3338" s="3" t="inlineStr">
        <is>
          <t>답</t>
        </is>
      </c>
      <c r="E3338" s="3" t="inlineStr">
        <is>
          <t>매매</t>
        </is>
      </c>
      <c r="F3338" s="4" t="n">
        <v>317500</v>
      </c>
      <c r="G3338" s="4" t="n">
        <v>10496</v>
      </c>
      <c r="H3338" s="4" t="n">
        <v>3175</v>
      </c>
      <c r="I3338" s="5" t="n">
        <v>100</v>
      </c>
      <c r="J3338" s="5" t="n">
        <v>21.9</v>
      </c>
      <c r="K3338" s="3" t="inlineStr">
        <is>
          <t>남청주IC인근 2차선 도로접한 계획관리지역. 공장,물류창고 추천.</t>
        </is>
      </c>
      <c r="L3338" s="6">
        <f>HYPERLINK("https://fin.land.naver.com/articles/2653047094", "매물Link")</f>
        <v/>
      </c>
      <c r="M3338" s="6">
        <f>HYPERLINK("https://map.naver.com/p/search/현도면 상삼리 117-1", "지도Link")</f>
        <v/>
      </c>
      <c r="N3338" s="6">
        <f>HYPERLINK("http://www.eum.go.kr/web/ar/lu/luLandDet.jsp?pnu=4311232021101170001&amp;isNoScr=script&amp;mode=search", "토지이음")</f>
        <v/>
      </c>
      <c r="O3338" s="3" t="inlineStr">
        <is>
          <t>세종대장</t>
        </is>
      </c>
      <c r="P3338" s="4" t="n">
        <v>1</v>
      </c>
      <c r="Q3338" s="4" t="n">
        <v>2251</v>
      </c>
      <c r="R3338" s="3" t="inlineStr">
        <is>
          <t>지정되지않음</t>
        </is>
      </c>
      <c r="S3338" s="3" t="inlineStr">
        <is>
          <t>답</t>
        </is>
      </c>
      <c r="T3338" s="3" t="inlineStr">
        <is>
          <t>완경사</t>
        </is>
      </c>
      <c r="U3338" s="3" t="inlineStr">
        <is>
          <t>부정형</t>
        </is>
      </c>
      <c r="V3338" s="3" t="inlineStr">
        <is>
          <t>세로한면(가)</t>
        </is>
      </c>
    </row>
    <row r="3339">
      <c r="A3339" s="3" t="inlineStr">
        <is>
          <t>현도면 상삼리 117-1</t>
        </is>
      </c>
      <c r="B3339" s="3" t="inlineStr">
        <is>
          <t>계획관리지역</t>
        </is>
      </c>
      <c r="C3339" s="3" t="inlineStr">
        <is>
          <t>답</t>
        </is>
      </c>
      <c r="D3339" s="3" t="inlineStr">
        <is>
          <t>답</t>
        </is>
      </c>
      <c r="E3339" s="3" t="inlineStr">
        <is>
          <t>매매</t>
        </is>
      </c>
      <c r="F3339" s="4" t="n">
        <v>381000</v>
      </c>
      <c r="G3339" s="4" t="n">
        <v>10495</v>
      </c>
      <c r="H3339" s="4" t="n">
        <v>3175</v>
      </c>
      <c r="I3339" s="5" t="n">
        <v>120</v>
      </c>
      <c r="J3339" s="5" t="n">
        <v>21.9</v>
      </c>
      <c r="K3339" s="3" t="inlineStr">
        <is>
          <t>청주IC 인근 입니다  공장부지 창고부지 주차장 부지 넓고 좋습니다</t>
        </is>
      </c>
      <c r="L3339" s="6">
        <f>HYPERLINK("https://fin.land.naver.com/articles/2654596838", "매물Link")</f>
        <v/>
      </c>
      <c r="M3339" s="6">
        <f>HYPERLINK("https://map.naver.com/p/search/현도면 상삼리 117-1", "지도Link")</f>
        <v/>
      </c>
      <c r="N3339" s="6">
        <f>HYPERLINK("http://www.eum.go.kr/web/ar/lu/luLandDet.jsp?pnu=4311232021101170001&amp;isNoScr=script&amp;mode=search", "토지이음")</f>
        <v/>
      </c>
      <c r="O3339" s="3" t="inlineStr">
        <is>
          <t>동일스위트대표</t>
        </is>
      </c>
      <c r="P3339" s="4" t="n">
        <v>3</v>
      </c>
      <c r="Q3339" s="4" t="n">
        <v>2251</v>
      </c>
      <c r="R3339" s="3" t="inlineStr">
        <is>
          <t>지정되지않음</t>
        </is>
      </c>
      <c r="S3339" s="3" t="inlineStr">
        <is>
          <t>답</t>
        </is>
      </c>
      <c r="T3339" s="3" t="inlineStr">
        <is>
          <t>완경사</t>
        </is>
      </c>
      <c r="U3339" s="3" t="inlineStr">
        <is>
          <t>부정형</t>
        </is>
      </c>
      <c r="V3339" s="3" t="inlineStr">
        <is>
          <t>세로한면(가)</t>
        </is>
      </c>
    </row>
    <row r="3340">
      <c r="A3340" s="3" t="inlineStr">
        <is>
          <t>현도면 상삼리 117-1</t>
        </is>
      </c>
      <c r="B3340" s="3" t="inlineStr">
        <is>
          <t>계획관리지역</t>
        </is>
      </c>
      <c r="C3340" s="3" t="inlineStr">
        <is>
          <t>답</t>
        </is>
      </c>
      <c r="D3340" s="3" t="inlineStr">
        <is>
          <t>답</t>
        </is>
      </c>
      <c r="E3340" s="3" t="inlineStr">
        <is>
          <t>매매</t>
        </is>
      </c>
      <c r="F3340" s="4" t="n">
        <v>317500</v>
      </c>
      <c r="G3340" s="4" t="n">
        <v>10496</v>
      </c>
      <c r="H3340" s="4" t="n">
        <v>3175</v>
      </c>
      <c r="I3340" s="5" t="n">
        <v>100</v>
      </c>
      <c r="J3340" s="5" t="n">
        <v>21.9</v>
      </c>
      <c r="K3340" s="3" t="inlineStr">
        <is>
          <t>남청주IC 2km 계획관리 2차선도로접, 공장물류창고 신축 최적지</t>
        </is>
      </c>
      <c r="L3340" s="6">
        <f>HYPERLINK("https://fin.land.naver.com/articles/2654089309", "매물Link")</f>
        <v/>
      </c>
      <c r="M3340" s="6">
        <f>HYPERLINK("https://map.naver.com/p/search/현도면 상삼리 117-1", "지도Link")</f>
        <v/>
      </c>
      <c r="N3340" s="6">
        <f>HYPERLINK("http://www.eum.go.kr/web/ar/lu/luLandDet.jsp?pnu=4311232021101170001&amp;isNoScr=script&amp;mode=search", "토지이음")</f>
        <v/>
      </c>
      <c r="O3340" s="3" t="inlineStr">
        <is>
          <t>신탄진다온</t>
        </is>
      </c>
      <c r="P3340" s="4" t="n">
        <v>1</v>
      </c>
      <c r="Q3340" s="4" t="n">
        <v>2251</v>
      </c>
      <c r="R3340" s="3" t="inlineStr">
        <is>
          <t>지정되지않음</t>
        </is>
      </c>
      <c r="S3340" s="3" t="inlineStr">
        <is>
          <t>답</t>
        </is>
      </c>
      <c r="T3340" s="3" t="inlineStr">
        <is>
          <t>완경사</t>
        </is>
      </c>
      <c r="U3340" s="3" t="inlineStr">
        <is>
          <t>부정형</t>
        </is>
      </c>
      <c r="V3340" s="3" t="inlineStr">
        <is>
          <t>세로한면(가)</t>
        </is>
      </c>
    </row>
    <row r="3341">
      <c r="A3341" s="3" t="inlineStr">
        <is>
          <t>현도면 상삼리 122</t>
        </is>
      </c>
      <c r="B3341" s="3" t="inlineStr">
        <is>
          <t>계획관리지역</t>
        </is>
      </c>
      <c r="C3341" s="3" t="inlineStr">
        <is>
          <t>답</t>
        </is>
      </c>
      <c r="D3341" s="3" t="inlineStr">
        <is>
          <t>답</t>
        </is>
      </c>
      <c r="E3341" s="3" t="inlineStr">
        <is>
          <t>매매</t>
        </is>
      </c>
      <c r="F3341" s="4" t="n">
        <v>317500</v>
      </c>
      <c r="G3341" s="4" t="n">
        <v>10496</v>
      </c>
      <c r="H3341" s="4" t="n">
        <v>3175</v>
      </c>
      <c r="I3341" s="5" t="n">
        <v>100</v>
      </c>
      <c r="J3341" s="5" t="n">
        <v>24.1</v>
      </c>
      <c r="K3341" s="3" t="inlineStr">
        <is>
          <t>남청주ic 부근 물류창고부지 계획관리 2차선변</t>
        </is>
      </c>
      <c r="L3341" s="6">
        <f>HYPERLINK("https://fin.land.naver.com/articles/2652728751", "매물Link")</f>
        <v/>
      </c>
      <c r="M3341" s="6">
        <f>HYPERLINK("https://map.naver.com/p/search/현도면 상삼리 122", "지도Link")</f>
        <v/>
      </c>
      <c r="N3341" s="6">
        <f>HYPERLINK("http://www.eum.go.kr/web/ar/lu/luLandDet.jsp?pnu=4311232021101220000&amp;isNoScr=script&amp;mode=search", "토지이음")</f>
        <v/>
      </c>
      <c r="O3341" s="3" t="inlineStr">
        <is>
          <t>세종이룸</t>
        </is>
      </c>
      <c r="P3341" s="4" t="n">
        <v>1</v>
      </c>
      <c r="Q3341" s="4" t="n">
        <v>1718</v>
      </c>
      <c r="R3341" s="3" t="inlineStr">
        <is>
          <t>지정되지않음</t>
        </is>
      </c>
      <c r="S3341" s="3" t="inlineStr">
        <is>
          <t>답</t>
        </is>
      </c>
      <c r="T3341" s="3" t="inlineStr">
        <is>
          <t>완경사</t>
        </is>
      </c>
      <c r="U3341" s="3" t="inlineStr">
        <is>
          <t>부정형</t>
        </is>
      </c>
      <c r="V3341" s="3" t="inlineStr">
        <is>
          <t>소로한면</t>
        </is>
      </c>
    </row>
    <row r="3342">
      <c r="A3342" s="3" t="inlineStr">
        <is>
          <t>현도면 상삼리 122</t>
        </is>
      </c>
      <c r="B3342" s="3" t="inlineStr">
        <is>
          <t>계획관리지역</t>
        </is>
      </c>
      <c r="C3342" s="3" t="inlineStr">
        <is>
          <t>답</t>
        </is>
      </c>
      <c r="D3342" s="3" t="inlineStr">
        <is>
          <t>답</t>
        </is>
      </c>
      <c r="E3342" s="3" t="inlineStr">
        <is>
          <t>매매</t>
        </is>
      </c>
      <c r="F3342" s="4" t="n">
        <v>380000</v>
      </c>
      <c r="G3342" s="4" t="n">
        <v>10496</v>
      </c>
      <c r="H3342" s="4" t="n">
        <v>3175</v>
      </c>
      <c r="I3342" s="5" t="n">
        <v>119.7</v>
      </c>
      <c r="J3342" s="5" t="n">
        <v>24.1</v>
      </c>
      <c r="K3342" s="3" t="inlineStr">
        <is>
          <t>즉시 건축 가능한  2차선 도로 접한 공장 및 창고 부지</t>
        </is>
      </c>
      <c r="L3342" s="6">
        <f>HYPERLINK("https://fin.land.naver.com/articles/2651916730", "매물Link")</f>
        <v/>
      </c>
      <c r="M3342" s="6">
        <f>HYPERLINK("https://map.naver.com/p/search/현도면 상삼리 122", "지도Link")</f>
        <v/>
      </c>
      <c r="N3342" s="6">
        <f>HYPERLINK("http://www.eum.go.kr/web/ar/lu/luLandDet.jsp?pnu=4311232021101220000&amp;isNoScr=script&amp;mode=search", "토지이음")</f>
        <v/>
      </c>
      <c r="O3342" s="3" t="inlineStr">
        <is>
          <t>대전토지로무소</t>
        </is>
      </c>
      <c r="P3342" s="4" t="n">
        <v>1</v>
      </c>
      <c r="Q3342" s="4" t="n">
        <v>1718</v>
      </c>
      <c r="R3342" s="3" t="inlineStr">
        <is>
          <t>지정되지않음</t>
        </is>
      </c>
      <c r="S3342" s="3" t="inlineStr">
        <is>
          <t>답</t>
        </is>
      </c>
      <c r="T3342" s="3" t="inlineStr">
        <is>
          <t>완경사</t>
        </is>
      </c>
      <c r="U3342" s="3" t="inlineStr">
        <is>
          <t>부정형</t>
        </is>
      </c>
      <c r="V3342" s="3" t="inlineStr">
        <is>
          <t>소로한면</t>
        </is>
      </c>
    </row>
    <row r="3343">
      <c r="A3343" s="3" t="inlineStr">
        <is>
          <t>현도면 상삼리 122</t>
        </is>
      </c>
      <c r="B3343" s="3" t="inlineStr">
        <is>
          <t>계획관리지역</t>
        </is>
      </c>
      <c r="C3343" s="3" t="inlineStr">
        <is>
          <t>답</t>
        </is>
      </c>
      <c r="D3343" s="3" t="inlineStr">
        <is>
          <t>답</t>
        </is>
      </c>
      <c r="E3343" s="3" t="inlineStr">
        <is>
          <t>매매</t>
        </is>
      </c>
      <c r="F3343" s="4" t="n">
        <v>381000</v>
      </c>
      <c r="G3343" s="4" t="n">
        <v>10496</v>
      </c>
      <c r="H3343" s="4" t="n">
        <v>3175</v>
      </c>
      <c r="I3343" s="5" t="n">
        <v>120</v>
      </c>
      <c r="J3343" s="5" t="n">
        <v>24.1</v>
      </c>
      <c r="K3343" s="3" t="inlineStr">
        <is>
          <t>OK. 급매. 계획관리지역, 성장관리계획구역.</t>
        </is>
      </c>
      <c r="L3343" s="6">
        <f>HYPERLINK("https://fin.land.naver.com/articles/2654953572", "매물Link")</f>
        <v/>
      </c>
      <c r="M3343" s="6">
        <f>HYPERLINK("https://map.naver.com/p/search/현도면 상삼리 122", "지도Link")</f>
        <v/>
      </c>
      <c r="N3343" s="6">
        <f>HYPERLINK("http://www.eum.go.kr/web/ar/lu/luLandDet.jsp?pnu=4311232021101220000&amp;isNoScr=script&amp;mode=search", "토지이음")</f>
        <v/>
      </c>
      <c r="O3343" s="3" t="inlineStr">
        <is>
          <t>OK</t>
        </is>
      </c>
      <c r="P3343" s="4" t="n">
        <v>1</v>
      </c>
      <c r="Q3343" s="4" t="n">
        <v>1718</v>
      </c>
      <c r="R3343" s="3" t="inlineStr">
        <is>
          <t>지정되지않음</t>
        </is>
      </c>
      <c r="S3343" s="3" t="inlineStr">
        <is>
          <t>답</t>
        </is>
      </c>
      <c r="T3343" s="3" t="inlineStr">
        <is>
          <t>완경사</t>
        </is>
      </c>
      <c r="U3343" s="3" t="inlineStr">
        <is>
          <t>부정형</t>
        </is>
      </c>
      <c r="V3343" s="3" t="inlineStr">
        <is>
          <t>소로한면</t>
        </is>
      </c>
    </row>
    <row r="3344">
      <c r="A3344" s="3" t="inlineStr">
        <is>
          <t>현도면 상삼리 122</t>
        </is>
      </c>
      <c r="B3344" s="3" t="inlineStr">
        <is>
          <t>계획관리지역</t>
        </is>
      </c>
      <c r="C3344" s="3" t="inlineStr">
        <is>
          <t>답</t>
        </is>
      </c>
      <c r="D3344" s="3" t="inlineStr">
        <is>
          <t>답</t>
        </is>
      </c>
      <c r="E3344" s="3" t="inlineStr">
        <is>
          <t>매매</t>
        </is>
      </c>
      <c r="F3344" s="4" t="n">
        <v>317500</v>
      </c>
      <c r="G3344" s="4" t="n">
        <v>10496</v>
      </c>
      <c r="H3344" s="4" t="n">
        <v>3175</v>
      </c>
      <c r="I3344" s="5" t="n">
        <v>100</v>
      </c>
      <c r="J3344" s="5" t="n">
        <v>24.1</v>
      </c>
      <c r="K3344" s="3" t="inlineStr">
        <is>
          <t>남청주 I.C 3분거리, 2차선도로접,공장,물류창고 추천</t>
        </is>
      </c>
      <c r="L3344" s="6">
        <f>HYPERLINK("https://fin.land.naver.com/articles/2656532891", "매물Link")</f>
        <v/>
      </c>
      <c r="M3344" s="6">
        <f>HYPERLINK("https://map.naver.com/p/search/현도면 상삼리 122", "지도Link")</f>
        <v/>
      </c>
      <c r="N3344" s="6">
        <f>HYPERLINK("http://www.eum.go.kr/web/ar/lu/luLandDet.jsp?pnu=4311232021101220000&amp;isNoScr=script&amp;mode=search", "토지이음")</f>
        <v/>
      </c>
      <c r="O3344" s="3" t="inlineStr">
        <is>
          <t>플러스자이합동</t>
        </is>
      </c>
      <c r="P3344" s="4" t="n">
        <v>2</v>
      </c>
      <c r="Q3344" s="4" t="n">
        <v>1718</v>
      </c>
      <c r="R3344" s="3" t="inlineStr">
        <is>
          <t>지정되지않음</t>
        </is>
      </c>
      <c r="S3344" s="3" t="inlineStr">
        <is>
          <t>답</t>
        </is>
      </c>
      <c r="T3344" s="3" t="inlineStr">
        <is>
          <t>완경사</t>
        </is>
      </c>
      <c r="U3344" s="3" t="inlineStr">
        <is>
          <t>부정형</t>
        </is>
      </c>
      <c r="V3344" s="3" t="inlineStr">
        <is>
          <t>소로한면</t>
        </is>
      </c>
    </row>
    <row r="3345">
      <c r="A3345" s="3" t="inlineStr">
        <is>
          <t>현도면 상삼리 141</t>
        </is>
      </c>
      <c r="B3345" s="3" t="inlineStr">
        <is>
          <t>계획관리지역</t>
        </is>
      </c>
      <c r="C3345" s="3" t="inlineStr">
        <is>
          <t>대</t>
        </is>
      </c>
      <c r="D3345" s="3" t="inlineStr">
        <is>
          <t>대</t>
        </is>
      </c>
      <c r="E3345" s="3" t="inlineStr">
        <is>
          <t>매매</t>
        </is>
      </c>
      <c r="F3345" s="4" t="n">
        <v>100000</v>
      </c>
      <c r="G3345" s="4" t="n">
        <v>3101</v>
      </c>
      <c r="H3345" s="4" t="n">
        <v>938</v>
      </c>
      <c r="I3345" s="5" t="n">
        <v>106.6</v>
      </c>
      <c r="J3345" s="5" t="n">
        <v>42.7</v>
      </c>
      <c r="K3345" s="3" t="inlineStr">
        <is>
          <t>주변 시세보다 저렴한 공장 및 창고 부지</t>
        </is>
      </c>
      <c r="L3345" s="6">
        <f>HYPERLINK("https://fin.land.naver.com/articles/2655402899", "매물Link")</f>
        <v/>
      </c>
      <c r="M3345" s="6">
        <f>HYPERLINK("https://map.naver.com/p/search/현도면 상삼리 141", "지도Link")</f>
        <v/>
      </c>
      <c r="N3345" s="6">
        <f>HYPERLINK("http://www.eum.go.kr/web/ar/lu/luLandDet.jsp?pnu=4311232021101410000&amp;isNoScr=script&amp;mode=search", "토지이음")</f>
        <v/>
      </c>
      <c r="O3345" s="3" t="inlineStr">
        <is>
          <t>대전토지로무소</t>
        </is>
      </c>
      <c r="P3345" s="4" t="n">
        <v>1</v>
      </c>
      <c r="Q3345" s="4" t="n">
        <v>2648</v>
      </c>
      <c r="R3345" s="3" t="inlineStr">
        <is>
          <t>지정되지않음</t>
        </is>
      </c>
      <c r="S3345" s="3" t="inlineStr">
        <is>
          <t>단독</t>
        </is>
      </c>
      <c r="T3345" s="3" t="inlineStr">
        <is>
          <t>완경사</t>
        </is>
      </c>
      <c r="U3345" s="3" t="inlineStr">
        <is>
          <t>부정형</t>
        </is>
      </c>
      <c r="V3345" s="3" t="inlineStr">
        <is>
          <t>세로한면(가)</t>
        </is>
      </c>
    </row>
    <row r="3346">
      <c r="A3346" s="3" t="inlineStr">
        <is>
          <t>현도면 상삼리 141</t>
        </is>
      </c>
      <c r="B3346" s="3" t="inlineStr">
        <is>
          <t>계획관리지역</t>
        </is>
      </c>
      <c r="C3346" s="3" t="inlineStr">
        <is>
          <t>대</t>
        </is>
      </c>
      <c r="D3346" s="3" t="inlineStr">
        <is>
          <t>대</t>
        </is>
      </c>
      <c r="E3346" s="3" t="inlineStr">
        <is>
          <t>매매</t>
        </is>
      </c>
      <c r="F3346" s="4" t="n">
        <v>100000</v>
      </c>
      <c r="G3346" s="4" t="n">
        <v>2648</v>
      </c>
      <c r="H3346" s="4" t="n">
        <v>801</v>
      </c>
      <c r="I3346" s="5" t="n">
        <v>124.8</v>
      </c>
      <c r="J3346" s="5" t="n">
        <v>42.7</v>
      </c>
      <c r="K3346" s="3" t="inlineStr">
        <is>
          <t>현재토지에  A동 단층주택 B동은 창고로 사용하고있음</t>
        </is>
      </c>
      <c r="L3346" s="6">
        <f>HYPERLINK("https://fin.land.naver.com/articles/2652036405", "매물Link")</f>
        <v/>
      </c>
      <c r="M3346" s="6">
        <f>HYPERLINK("https://map.naver.com/p/search/현도면 상삼리 141", "지도Link")</f>
        <v/>
      </c>
      <c r="N3346" s="6">
        <f>HYPERLINK("http://www.eum.go.kr/web/ar/lu/luLandDet.jsp?pnu=4311232021101410000&amp;isNoScr=script&amp;mode=search", "토지이음")</f>
        <v/>
      </c>
      <c r="O3346" s="3" t="inlineStr">
        <is>
          <t>사랑방</t>
        </is>
      </c>
      <c r="P3346" s="4" t="n">
        <v>1</v>
      </c>
      <c r="Q3346" s="4" t="n">
        <v>2648</v>
      </c>
      <c r="R3346" s="3" t="inlineStr">
        <is>
          <t>지정되지않음</t>
        </is>
      </c>
      <c r="S3346" s="3" t="inlineStr">
        <is>
          <t>단독</t>
        </is>
      </c>
      <c r="T3346" s="3" t="inlineStr">
        <is>
          <t>완경사</t>
        </is>
      </c>
      <c r="U3346" s="3" t="inlineStr">
        <is>
          <t>부정형</t>
        </is>
      </c>
      <c r="V3346" s="3" t="inlineStr">
        <is>
          <t>세로한면(가)</t>
        </is>
      </c>
    </row>
    <row r="3347">
      <c r="A3347" s="3" t="inlineStr">
        <is>
          <t>현도면 상삼리 195-1</t>
        </is>
      </c>
      <c r="B3347" s="3" t="inlineStr">
        <is>
          <t>계획관리지역</t>
        </is>
      </c>
      <c r="C3347" s="3" t="inlineStr">
        <is>
          <t>전</t>
        </is>
      </c>
      <c r="D3347" s="3" t="inlineStr">
        <is>
          <t>대</t>
        </is>
      </c>
      <c r="E3347" s="3" t="inlineStr">
        <is>
          <t>매매</t>
        </is>
      </c>
      <c r="F3347" s="4" t="n">
        <v>406000</v>
      </c>
      <c r="G3347" s="4" t="n">
        <v>10341</v>
      </c>
      <c r="H3347" s="4" t="n">
        <v>3128</v>
      </c>
      <c r="I3347" s="5" t="n">
        <v>129.8</v>
      </c>
      <c r="J3347" s="5" t="n">
        <v>21.4</v>
      </c>
      <c r="K3347" s="3" t="inlineStr">
        <is>
          <t>남청주IC 2분, 물류센터,공장 추천,산업단지 부근 계획관리지역 토지</t>
        </is>
      </c>
      <c r="L3347" s="6">
        <f>HYPERLINK("https://fin.land.naver.com/articles/2655898083", "매물Link")</f>
        <v/>
      </c>
      <c r="M3347" s="6">
        <f>HYPERLINK("https://map.naver.com/p/search/현도면 상삼리 195-1", "지도Link")</f>
        <v/>
      </c>
      <c r="N3347" s="6">
        <f>HYPERLINK("http://www.eum.go.kr/web/ar/lu/luLandDet.jsp?pnu=4311232021101950001&amp;isNoScr=script&amp;mode=search", "토지이음")</f>
        <v/>
      </c>
      <c r="O3347" s="3" t="inlineStr">
        <is>
          <t>(주)미르</t>
        </is>
      </c>
      <c r="P3347" s="4" t="n">
        <v>3</v>
      </c>
      <c r="Q3347" s="4" t="n">
        <v>1530</v>
      </c>
      <c r="R3347" s="3" t="inlineStr">
        <is>
          <t>지정되지않음</t>
        </is>
      </c>
      <c r="S3347" s="3" t="inlineStr">
        <is>
          <t>전</t>
        </is>
      </c>
      <c r="T3347" s="3" t="inlineStr">
        <is>
          <t>완경사</t>
        </is>
      </c>
      <c r="U3347" s="3" t="inlineStr">
        <is>
          <t>부정형</t>
        </is>
      </c>
      <c r="V3347" s="3" t="inlineStr">
        <is>
          <t>맹지</t>
        </is>
      </c>
    </row>
    <row r="3348">
      <c r="A3348" s="3" t="inlineStr">
        <is>
          <t>현도면 상삼리 243</t>
        </is>
      </c>
      <c r="B3348" s="3" t="inlineStr">
        <is>
          <t>계획관리지역</t>
        </is>
      </c>
      <c r="C3348" s="3" t="inlineStr">
        <is>
          <t>대</t>
        </is>
      </c>
      <c r="D3348" s="3" t="inlineStr">
        <is>
          <t>대</t>
        </is>
      </c>
      <c r="E3348" s="3" t="inlineStr">
        <is>
          <t>매매</t>
        </is>
      </c>
      <c r="F3348" s="4" t="n">
        <v>13000</v>
      </c>
      <c r="G3348" s="4" t="n">
        <v>893</v>
      </c>
      <c r="H3348" s="4" t="n">
        <v>270</v>
      </c>
      <c r="I3348" s="5" t="n">
        <v>48.1</v>
      </c>
      <c r="J3348" s="5" t="n">
        <v>38.5</v>
      </c>
      <c r="K3348" s="3" t="inlineStr">
        <is>
          <t>nan</t>
        </is>
      </c>
      <c r="L3348" s="6">
        <f>HYPERLINK("https://fin.land.naver.com/articles/2651444147", "매물Link")</f>
        <v/>
      </c>
      <c r="M3348" s="6">
        <f>HYPERLINK("https://map.naver.com/p/search/현도면 상삼리 243", "지도Link")</f>
        <v/>
      </c>
      <c r="N3348" s="6">
        <f>HYPERLINK("http://www.eum.go.kr/web/ar/lu/luLandDet.jsp?pnu=4311232021102430000&amp;isNoScr=script&amp;mode=search", "토지이음")</f>
        <v/>
      </c>
      <c r="O3348" s="3" t="inlineStr">
        <is>
          <t>오송베스트</t>
        </is>
      </c>
      <c r="P3348" s="4" t="n">
        <v>1</v>
      </c>
      <c r="Q3348" s="4" t="n">
        <v>893</v>
      </c>
      <c r="R3348" s="3" t="inlineStr">
        <is>
          <t>지정되지않음</t>
        </is>
      </c>
      <c r="S3348" s="3" t="inlineStr">
        <is>
          <t>단독</t>
        </is>
      </c>
      <c r="T3348" s="3" t="inlineStr">
        <is>
          <t>완경사</t>
        </is>
      </c>
      <c r="U3348" s="3" t="inlineStr">
        <is>
          <t>부정형</t>
        </is>
      </c>
      <c r="V3348" s="3" t="inlineStr">
        <is>
          <t>세로한면(불)</t>
        </is>
      </c>
    </row>
    <row r="3349">
      <c r="A3349" s="3" t="inlineStr">
        <is>
          <t>현도면 상삼리 256-4</t>
        </is>
      </c>
      <c r="B3349" s="3" t="inlineStr">
        <is>
          <t>계획관리지역</t>
        </is>
      </c>
      <c r="C3349" s="3" t="inlineStr">
        <is>
          <t>대</t>
        </is>
      </c>
      <c r="D3349" s="3" t="inlineStr">
        <is>
          <t>대</t>
        </is>
      </c>
      <c r="E3349" s="3" t="inlineStr">
        <is>
          <t>매매</t>
        </is>
      </c>
      <c r="F3349" s="4" t="n">
        <v>12300</v>
      </c>
      <c r="G3349" s="4" t="n">
        <v>681</v>
      </c>
      <c r="H3349" s="4" t="n">
        <v>206</v>
      </c>
      <c r="I3349" s="5" t="n">
        <v>59.7</v>
      </c>
      <c r="J3349" s="5" t="n">
        <v>40.4</v>
      </c>
      <c r="K3349" s="3" t="inlineStr">
        <is>
          <t>주택신축부지매매 구옥철거필요함</t>
        </is>
      </c>
      <c r="L3349" s="6">
        <f>HYPERLINK("https://fin.land.naver.com/articles/2652834840", "매물Link")</f>
        <v/>
      </c>
      <c r="M3349" s="6">
        <f>HYPERLINK("https://map.naver.com/p/search/현도면 상삼리 256-4", "지도Link")</f>
        <v/>
      </c>
      <c r="N3349" s="6">
        <f>HYPERLINK("http://www.eum.go.kr/web/ar/lu/luLandDet.jsp?pnu=4311232021102560004&amp;isNoScr=script&amp;mode=search", "토지이음")</f>
        <v/>
      </c>
      <c r="O3349" s="3" t="inlineStr">
        <is>
          <t>거림합동</t>
        </is>
      </c>
      <c r="P3349" s="4" t="n">
        <v>1</v>
      </c>
      <c r="Q3349" s="4" t="n">
        <v>681</v>
      </c>
      <c r="R3349" s="3" t="inlineStr">
        <is>
          <t>지정되지않음</t>
        </is>
      </c>
      <c r="S3349" s="3" t="inlineStr">
        <is>
          <t>단독</t>
        </is>
      </c>
      <c r="T3349" s="3" t="inlineStr">
        <is>
          <t>완경사</t>
        </is>
      </c>
      <c r="U3349" s="3" t="inlineStr">
        <is>
          <t>사다리형</t>
        </is>
      </c>
      <c r="V3349" s="3" t="inlineStr">
        <is>
          <t>세로한면(불)</t>
        </is>
      </c>
    </row>
    <row r="3350">
      <c r="A3350" s="3" t="inlineStr">
        <is>
          <t>현도면 상삼리 260-1</t>
        </is>
      </c>
      <c r="B3350" s="3" t="inlineStr">
        <is>
          <t>계획관리지역</t>
        </is>
      </c>
      <c r="C3350" s="3" t="inlineStr">
        <is>
          <t>대</t>
        </is>
      </c>
      <c r="D3350" s="3" t="inlineStr">
        <is>
          <t>대</t>
        </is>
      </c>
      <c r="E3350" s="3" t="inlineStr">
        <is>
          <t>매매</t>
        </is>
      </c>
      <c r="F3350" s="4" t="n">
        <v>74800</v>
      </c>
      <c r="G3350" s="4" t="n">
        <v>3099</v>
      </c>
      <c r="H3350" s="4" t="n">
        <v>937</v>
      </c>
      <c r="I3350" s="5" t="n">
        <v>79.8</v>
      </c>
      <c r="J3350" s="5" t="n">
        <v>38.8</v>
      </c>
      <c r="K3350" s="3" t="inlineStr">
        <is>
          <t>지목이 대지라 농지전용없이 건축가능, 공장 및 창고 등 용도다양함</t>
        </is>
      </c>
      <c r="L3350" s="6">
        <f>HYPERLINK("https://fin.land.naver.com/articles/2654901453", "매물Link")</f>
        <v/>
      </c>
      <c r="M3350" s="6">
        <f>HYPERLINK("https://map.naver.com/p/search/현도면 상삼리 260-1", "지도Link")</f>
        <v/>
      </c>
      <c r="N3350" s="6">
        <f>HYPERLINK("http://www.eum.go.kr/web/ar/lu/luLandDet.jsp?pnu=4311232021102600001&amp;isNoScr=script&amp;mode=search", "토지이음")</f>
        <v/>
      </c>
      <c r="O3350" s="3" t="inlineStr">
        <is>
          <t>대전토지로무소</t>
        </is>
      </c>
      <c r="P3350" s="4" t="n">
        <v>1</v>
      </c>
      <c r="Q3350" s="4" t="n">
        <v>3012</v>
      </c>
      <c r="R3350" s="3" t="inlineStr">
        <is>
          <t>지정되지않음</t>
        </is>
      </c>
      <c r="S3350" s="3" t="inlineStr">
        <is>
          <t>주거나지</t>
        </is>
      </c>
      <c r="T3350" s="3" t="inlineStr">
        <is>
          <t>완경사</t>
        </is>
      </c>
      <c r="U3350" s="3" t="inlineStr">
        <is>
          <t>부정형</t>
        </is>
      </c>
      <c r="V3350" s="3" t="inlineStr">
        <is>
          <t>세로한면(불)</t>
        </is>
      </c>
    </row>
    <row r="3351">
      <c r="A3351" s="3" t="inlineStr">
        <is>
          <t>현도면 상삼리 293</t>
        </is>
      </c>
      <c r="B3351" s="3" t="inlineStr">
        <is>
          <t>계획관리지역</t>
        </is>
      </c>
      <c r="C3351" s="3" t="inlineStr">
        <is>
          <t>전</t>
        </is>
      </c>
      <c r="D3351" s="3" t="inlineStr">
        <is>
          <t>전</t>
        </is>
      </c>
      <c r="E3351" s="3" t="inlineStr">
        <is>
          <t>매매</t>
        </is>
      </c>
      <c r="F3351" s="4" t="n">
        <v>25900</v>
      </c>
      <c r="G3351" s="4" t="n">
        <v>2446</v>
      </c>
      <c r="H3351" s="4" t="n">
        <v>740</v>
      </c>
      <c r="I3351" s="5" t="n">
        <v>35</v>
      </c>
      <c r="J3351" s="5" t="n">
        <v>20.8</v>
      </c>
      <c r="K3351" s="3" t="inlineStr">
        <is>
          <t>농로 있음, 계획관리지역, 성장관리계획구역</t>
        </is>
      </c>
      <c r="L3351" s="6">
        <f>HYPERLINK("https://fin.land.naver.com/articles/2655015793", "매물Link")</f>
        <v/>
      </c>
      <c r="M3351" s="6">
        <f>HYPERLINK("https://map.naver.com/p/search/현도면 상삼리 293", "지도Link")</f>
        <v/>
      </c>
      <c r="N3351" s="6">
        <f>HYPERLINK("http://www.eum.go.kr/web/ar/lu/luLandDet.jsp?pnu=4311232021102930000&amp;isNoScr=script&amp;mode=search", "토지이음")</f>
        <v/>
      </c>
      <c r="O3351" s="3" t="inlineStr">
        <is>
          <t>복돼지</t>
        </is>
      </c>
      <c r="P3351" s="4" t="n">
        <v>1</v>
      </c>
      <c r="Q3351" s="4" t="n">
        <v>2446</v>
      </c>
      <c r="R3351" s="3" t="inlineStr">
        <is>
          <t>지정되지않음</t>
        </is>
      </c>
      <c r="S3351" s="3" t="inlineStr">
        <is>
          <t>전</t>
        </is>
      </c>
      <c r="T3351" s="3" t="inlineStr">
        <is>
          <t>완경사</t>
        </is>
      </c>
      <c r="U3351" s="3" t="inlineStr">
        <is>
          <t>부정형</t>
        </is>
      </c>
      <c r="V3351" s="3" t="inlineStr">
        <is>
          <t>세로한면(가)</t>
        </is>
      </c>
    </row>
    <row r="3352">
      <c r="A3352" s="3" t="inlineStr">
        <is>
          <t>현도면 시동리 126</t>
        </is>
      </c>
      <c r="B3352" s="3" t="inlineStr">
        <is>
          <t>개발제한구역</t>
        </is>
      </c>
      <c r="C3352" s="3" t="inlineStr">
        <is>
          <t>답</t>
        </is>
      </c>
      <c r="D3352" s="3" t="inlineStr">
        <is>
          <t>답</t>
        </is>
      </c>
      <c r="E3352" s="3" t="inlineStr">
        <is>
          <t>매매</t>
        </is>
      </c>
      <c r="F3352" s="4" t="n">
        <v>18900</v>
      </c>
      <c r="G3352" s="4" t="n">
        <v>3117</v>
      </c>
      <c r="H3352" s="4" t="n">
        <v>943</v>
      </c>
      <c r="I3352" s="5" t="n">
        <v>20</v>
      </c>
      <c r="J3352" s="5" t="n">
        <v>9.199999999999999</v>
      </c>
      <c r="K3352" s="3" t="inlineStr">
        <is>
          <t>복토후 밭으로 사용가능하며 투자용으로 적격입니다</t>
        </is>
      </c>
      <c r="L3352" s="6">
        <f>HYPERLINK("https://fin.land.naver.com/articles/2652711749", "매물Link")</f>
        <v/>
      </c>
      <c r="M3352" s="6">
        <f>HYPERLINK("https://map.naver.com/p/search/현도면 시동리 126", "지도Link")</f>
        <v/>
      </c>
      <c r="N3352" s="6">
        <f>HYPERLINK("http://www.eum.go.kr/web/ar/lu/luLandDet.jsp?pnu=4311232025101260000&amp;isNoScr=script&amp;mode=search", "토지이음")</f>
        <v/>
      </c>
      <c r="O3352" s="3" t="inlineStr">
        <is>
          <t>대웅</t>
        </is>
      </c>
      <c r="P3352" s="4" t="n">
        <v>1</v>
      </c>
      <c r="Q3352" s="4" t="n">
        <v>3117</v>
      </c>
      <c r="R3352" s="3" t="inlineStr">
        <is>
          <t>지정되지않음</t>
        </is>
      </c>
      <c r="S3352" s="3" t="inlineStr">
        <is>
          <t>답</t>
        </is>
      </c>
      <c r="T3352" s="3" t="inlineStr">
        <is>
          <t>완경사</t>
        </is>
      </c>
      <c r="U3352" s="3" t="inlineStr">
        <is>
          <t>부정형</t>
        </is>
      </c>
      <c r="V3352" s="3" t="inlineStr">
        <is>
          <t>세로한면(불)</t>
        </is>
      </c>
    </row>
    <row r="3353">
      <c r="A3353" s="3" t="inlineStr">
        <is>
          <t>현도면 시동리 218</t>
        </is>
      </c>
      <c r="B3353" s="3" t="inlineStr">
        <is>
          <t>생산관리지역</t>
        </is>
      </c>
      <c r="C3353" s="3" t="inlineStr">
        <is>
          <t>전</t>
        </is>
      </c>
      <c r="D3353" s="3" t="inlineStr">
        <is>
          <t>전</t>
        </is>
      </c>
      <c r="E3353" s="3" t="inlineStr">
        <is>
          <t>매매</t>
        </is>
      </c>
      <c r="F3353" s="4" t="n">
        <v>17000</v>
      </c>
      <c r="G3353" s="4" t="n">
        <v>761</v>
      </c>
      <c r="H3353" s="4" t="n">
        <v>230</v>
      </c>
      <c r="I3353" s="5" t="n">
        <v>73.90000000000001</v>
      </c>
      <c r="J3353" s="5" t="n">
        <v>29</v>
      </c>
      <c r="K3353" s="3" t="inlineStr">
        <is>
          <t>도로옆으로 국유지 약 100여평이상 무상으로 사용중 입니다</t>
        </is>
      </c>
      <c r="L3353" s="6">
        <f>HYPERLINK("https://fin.land.naver.com/articles/2652712084", "매물Link")</f>
        <v/>
      </c>
      <c r="M3353" s="6">
        <f>HYPERLINK("https://map.naver.com/p/search/현도면 시동리 218", "지도Link")</f>
        <v/>
      </c>
      <c r="N3353" s="6">
        <f>HYPERLINK("http://www.eum.go.kr/web/ar/lu/luLandDet.jsp?pnu=4311232025102180000&amp;isNoScr=script&amp;mode=search", "토지이음")</f>
        <v/>
      </c>
      <c r="O3353" s="3" t="inlineStr">
        <is>
          <t>대웅</t>
        </is>
      </c>
      <c r="P3353" s="4" t="n">
        <v>1</v>
      </c>
      <c r="Q3353" s="4" t="n">
        <v>761</v>
      </c>
      <c r="R3353" s="3" t="inlineStr">
        <is>
          <t>지정되지않음</t>
        </is>
      </c>
      <c r="S3353" s="3" t="inlineStr">
        <is>
          <t>전</t>
        </is>
      </c>
      <c r="T3353" s="3" t="inlineStr">
        <is>
          <t>평지</t>
        </is>
      </c>
      <c r="U3353" s="3" t="inlineStr">
        <is>
          <t>부정형</t>
        </is>
      </c>
      <c r="V3353" s="3" t="inlineStr">
        <is>
          <t>소로한면</t>
        </is>
      </c>
    </row>
    <row r="3354">
      <c r="A3354" s="3" t="inlineStr">
        <is>
          <t>현도면 시동리 297</t>
        </is>
      </c>
      <c r="B3354" s="3" t="inlineStr">
        <is>
          <t>개발제한구역</t>
        </is>
      </c>
      <c r="C3354" s="3" t="inlineStr">
        <is>
          <t>전</t>
        </is>
      </c>
      <c r="D3354" s="3" t="inlineStr">
        <is>
          <t>전</t>
        </is>
      </c>
      <c r="E3354" s="3" t="inlineStr">
        <is>
          <t>매매</t>
        </is>
      </c>
      <c r="F3354" s="4" t="n">
        <v>26000</v>
      </c>
      <c r="G3354" s="4" t="n">
        <v>2142</v>
      </c>
      <c r="H3354" s="4" t="n">
        <v>648</v>
      </c>
      <c r="I3354" s="5" t="n">
        <v>40.1</v>
      </c>
      <c r="J3354" s="5" t="n">
        <v>6.8</v>
      </c>
      <c r="K3354" s="3" t="inlineStr">
        <is>
          <t>도로인접, 차량진입 가능, 수도, 전기, 컨테이너</t>
        </is>
      </c>
      <c r="L3354" s="6">
        <f>HYPERLINK("https://fin.land.naver.com/articles/2654568689", "매물Link")</f>
        <v/>
      </c>
      <c r="M3354" s="6">
        <f>HYPERLINK("https://map.naver.com/p/search/현도면 시동리 297", "지도Link")</f>
        <v/>
      </c>
      <c r="N3354" s="6">
        <f>HYPERLINK("http://www.eum.go.kr/web/ar/lu/luLandDet.jsp?pnu=4311232025102970000&amp;isNoScr=script&amp;mode=search", "토지이음")</f>
        <v/>
      </c>
      <c r="O3354" s="3" t="inlineStr">
        <is>
          <t>대지</t>
        </is>
      </c>
      <c r="P3354" s="4" t="n">
        <v>1</v>
      </c>
      <c r="Q3354" s="4" t="n">
        <v>2142</v>
      </c>
      <c r="R3354" s="3" t="inlineStr">
        <is>
          <t>지정되지않음</t>
        </is>
      </c>
      <c r="S3354" s="3" t="inlineStr">
        <is>
          <t>전</t>
        </is>
      </c>
      <c r="T3354" s="3" t="inlineStr">
        <is>
          <t>완경사</t>
        </is>
      </c>
      <c r="U3354" s="3" t="inlineStr">
        <is>
          <t>부정형</t>
        </is>
      </c>
      <c r="V3354" s="3" t="inlineStr">
        <is>
          <t>세로한면(불)</t>
        </is>
      </c>
    </row>
    <row r="3355">
      <c r="A3355" s="3" t="inlineStr">
        <is>
          <t>현도면 양지리 230-8</t>
        </is>
      </c>
      <c r="B3355" s="3" t="inlineStr">
        <is>
          <t>제1종일반주거지역</t>
        </is>
      </c>
      <c r="C3355" s="3" t="inlineStr">
        <is>
          <t>전</t>
        </is>
      </c>
      <c r="D3355" s="3" t="inlineStr">
        <is>
          <t>전</t>
        </is>
      </c>
      <c r="E3355" s="3" t="inlineStr">
        <is>
          <t>매매</t>
        </is>
      </c>
      <c r="F3355" s="4" t="n">
        <v>47000</v>
      </c>
      <c r="G3355" s="4" t="n">
        <v>1109</v>
      </c>
      <c r="H3355" s="4" t="n">
        <v>335</v>
      </c>
      <c r="I3355" s="5" t="n">
        <v>140.3</v>
      </c>
      <c r="J3355" s="5" t="n">
        <v>39.4</v>
      </c>
      <c r="K3355" s="3" t="inlineStr">
        <is>
          <t>즉시 사용 가능한 주거지역 토지 도로 접한 해 잘 드는 창고 주택 용지</t>
        </is>
      </c>
      <c r="L3355" s="6">
        <f>HYPERLINK("https://fin.land.naver.com/articles/2651947076", "매물Link")</f>
        <v/>
      </c>
      <c r="M3355" s="6">
        <f>HYPERLINK("https://map.naver.com/p/search/현도면 양지리 230-8", "지도Link")</f>
        <v/>
      </c>
      <c r="N3355" s="6">
        <f>HYPERLINK("http://www.eum.go.kr/web/ar/lu/luLandDet.jsp?pnu=4311232033102300008&amp;isNoScr=script&amp;mode=search", "토지이음")</f>
        <v/>
      </c>
      <c r="O3355" s="3" t="inlineStr">
        <is>
          <t>대전토지로무소</t>
        </is>
      </c>
      <c r="P3355" s="4" t="n">
        <v>1</v>
      </c>
      <c r="Q3355" s="4" t="n">
        <v>1037</v>
      </c>
      <c r="R3355" s="3" t="inlineStr">
        <is>
          <t>지정되지않음</t>
        </is>
      </c>
      <c r="S3355" s="3" t="inlineStr">
        <is>
          <t>전</t>
        </is>
      </c>
      <c r="T3355" s="3" t="inlineStr">
        <is>
          <t>평지</t>
        </is>
      </c>
      <c r="U3355" s="3" t="inlineStr">
        <is>
          <t>사다리형</t>
        </is>
      </c>
      <c r="V3355" s="3" t="inlineStr">
        <is>
          <t>세로한면(가)</t>
        </is>
      </c>
    </row>
    <row r="3356">
      <c r="A3356" s="3" t="inlineStr">
        <is>
          <t>현도면 양지리 41-8</t>
        </is>
      </c>
      <c r="B3356" s="3" t="inlineStr">
        <is>
          <t>개발제한구역</t>
        </is>
      </c>
      <c r="C3356" s="3" t="inlineStr">
        <is>
          <t>대</t>
        </is>
      </c>
      <c r="D3356" s="3" t="inlineStr">
        <is>
          <t>대</t>
        </is>
      </c>
      <c r="E3356" s="3" t="inlineStr">
        <is>
          <t>매매</t>
        </is>
      </c>
      <c r="F3356" s="4" t="n">
        <v>500000</v>
      </c>
      <c r="G3356" s="4" t="n">
        <v>6126</v>
      </c>
      <c r="H3356" s="4" t="n">
        <v>1853</v>
      </c>
      <c r="I3356" s="5" t="n">
        <v>269.8</v>
      </c>
      <c r="J3356" s="5" t="n">
        <v>100.5</v>
      </c>
      <c r="K3356" s="3" t="inlineStr">
        <is>
          <t>17번 국도에 접하고 금강을 마주보는 천혜의 요지, 카페 가든 최적지</t>
        </is>
      </c>
      <c r="L3356" s="6">
        <f>HYPERLINK("https://fin.land.naver.com/articles/2654902415", "매물Link")</f>
        <v/>
      </c>
      <c r="M3356" s="6">
        <f>HYPERLINK("https://map.naver.com/p/search/현도면 양지리 41-8", "지도Link")</f>
        <v/>
      </c>
      <c r="N3356" s="6">
        <f>HYPERLINK("http://www.eum.go.kr/web/ar/lu/luLandDet.jsp?pnu=4311232033100410008&amp;isNoScr=script&amp;mode=search", "토지이음")</f>
        <v/>
      </c>
      <c r="O3356" s="3" t="inlineStr">
        <is>
          <t>대전토지로무소</t>
        </is>
      </c>
      <c r="P3356" s="4" t="n">
        <v>1</v>
      </c>
      <c r="Q3356" s="4" t="n">
        <v>797</v>
      </c>
      <c r="R3356" s="3" t="inlineStr">
        <is>
          <t>지정되지않음</t>
        </is>
      </c>
      <c r="S3356" s="3" t="inlineStr">
        <is>
          <t>상업용</t>
        </is>
      </c>
      <c r="T3356" s="3" t="inlineStr">
        <is>
          <t>완경사</t>
        </is>
      </c>
      <c r="U3356" s="3" t="inlineStr">
        <is>
          <t>가로장방</t>
        </is>
      </c>
      <c r="V3356" s="3" t="inlineStr">
        <is>
          <t>중로한면</t>
        </is>
      </c>
    </row>
    <row r="3357">
      <c r="A3357" s="3" t="inlineStr">
        <is>
          <t>현도면 우록리 109-3</t>
        </is>
      </c>
      <c r="B3357" s="3" t="inlineStr">
        <is>
          <t>계획관리지역</t>
        </is>
      </c>
      <c r="C3357" s="3" t="inlineStr">
        <is>
          <t>대</t>
        </is>
      </c>
      <c r="D3357" s="3" t="inlineStr">
        <is>
          <t>대</t>
        </is>
      </c>
      <c r="E3357" s="3" t="inlineStr">
        <is>
          <t>매매</t>
        </is>
      </c>
      <c r="F3357" s="4" t="n">
        <v>15000</v>
      </c>
      <c r="G3357" s="4" t="n">
        <v>687</v>
      </c>
      <c r="H3357" s="4" t="n">
        <v>208</v>
      </c>
      <c r="I3357" s="5" t="n">
        <v>72.09999999999999</v>
      </c>
      <c r="J3357" s="5" t="n">
        <v>36.3</v>
      </c>
      <c r="K3357" s="3" t="inlineStr">
        <is>
          <t>위치 좋은 전원주택지 입니다.</t>
        </is>
      </c>
      <c r="L3357" s="6">
        <f>HYPERLINK("https://fin.land.naver.com/articles/2654497296", "매물Link")</f>
        <v/>
      </c>
      <c r="M3357" s="6">
        <f>HYPERLINK("https://map.naver.com/p/search/현도면 우록리 109-3", "지도Link")</f>
        <v/>
      </c>
      <c r="N3357" s="6">
        <f>HYPERLINK("http://www.eum.go.kr/web/ar/lu/luLandDet.jsp?pnu=4311232024101090003&amp;isNoScr=script&amp;mode=search", "토지이음")</f>
        <v/>
      </c>
      <c r="O3357" s="3" t="inlineStr">
        <is>
          <t>대웅</t>
        </is>
      </c>
      <c r="P3357" s="4" t="n">
        <v>1</v>
      </c>
      <c r="Q3357" s="4" t="n">
        <v>687</v>
      </c>
      <c r="R3357" s="3" t="inlineStr">
        <is>
          <t>지정되지않음</t>
        </is>
      </c>
      <c r="S3357" s="3" t="inlineStr">
        <is>
          <t>주거기타</t>
        </is>
      </c>
      <c r="T3357" s="3" t="inlineStr">
        <is>
          <t>완경사</t>
        </is>
      </c>
      <c r="U3357" s="3" t="inlineStr">
        <is>
          <t>부정형</t>
        </is>
      </c>
      <c r="V3357" s="3" t="inlineStr">
        <is>
          <t>세로한면(가)</t>
        </is>
      </c>
    </row>
    <row r="3358">
      <c r="A3358" s="3" t="inlineStr">
        <is>
          <t>현도면 우록리 109-5</t>
        </is>
      </c>
      <c r="B3358" s="3" t="inlineStr">
        <is>
          <t>계획관리지역</t>
        </is>
      </c>
      <c r="C3358" s="3" t="inlineStr">
        <is>
          <t>임야</t>
        </is>
      </c>
      <c r="D3358" s="3" t="inlineStr">
        <is>
          <t>임야</t>
        </is>
      </c>
      <c r="E3358" s="3" t="inlineStr">
        <is>
          <t>매매</t>
        </is>
      </c>
      <c r="F3358" s="4" t="n">
        <v>25200</v>
      </c>
      <c r="G3358" s="4" t="n">
        <v>1020</v>
      </c>
      <c r="H3358" s="4" t="n">
        <v>309</v>
      </c>
      <c r="I3358" s="5" t="n">
        <v>81.59999999999999</v>
      </c>
      <c r="J3358" s="5" t="n">
        <v>4</v>
      </c>
      <c r="K3358" s="3" t="inlineStr">
        <is>
          <t>계획관리지역의 3필지 토지 매매입니다.</t>
        </is>
      </c>
      <c r="L3358" s="6">
        <f>HYPERLINK("https://fin.land.naver.com/articles/2652719034", "매물Link")</f>
        <v/>
      </c>
      <c r="M3358" s="6">
        <f>HYPERLINK("https://map.naver.com/p/search/현도면 우록리 109-5", "지도Link")</f>
        <v/>
      </c>
      <c r="N3358" s="6">
        <f>HYPERLINK("http://www.eum.go.kr/web/ar/lu/luLandDet.jsp?pnu=4311232024101090005&amp;isNoScr=script&amp;mode=search", "토지이음")</f>
        <v/>
      </c>
      <c r="O3358" s="3" t="inlineStr">
        <is>
          <t>진행</t>
        </is>
      </c>
      <c r="P3358" s="4" t="n">
        <v>1</v>
      </c>
      <c r="Q3358" s="4" t="n">
        <v>1020</v>
      </c>
      <c r="R3358" s="3" t="inlineStr">
        <is>
          <t>지정되지않음</t>
        </is>
      </c>
      <c r="S3358" s="3" t="inlineStr">
        <is>
          <t>자연림</t>
        </is>
      </c>
      <c r="T3358" s="3" t="inlineStr">
        <is>
          <t>완경사</t>
        </is>
      </c>
      <c r="U3358" s="3" t="inlineStr">
        <is>
          <t>부정형</t>
        </is>
      </c>
      <c r="V3358" s="3" t="inlineStr">
        <is>
          <t>세로한면(가)</t>
        </is>
      </c>
    </row>
    <row r="3359">
      <c r="A3359" s="3" t="inlineStr">
        <is>
          <t>현도면 우록리 300</t>
        </is>
      </c>
      <c r="B3359" s="3" t="inlineStr">
        <is>
          <t>생산관리지역</t>
        </is>
      </c>
      <c r="C3359" s="3" t="inlineStr">
        <is>
          <t>답</t>
        </is>
      </c>
      <c r="D3359" s="3" t="inlineStr">
        <is>
          <t>답</t>
        </is>
      </c>
      <c r="E3359" s="3" t="inlineStr">
        <is>
          <t>매매</t>
        </is>
      </c>
      <c r="F3359" s="4" t="n">
        <v>43000</v>
      </c>
      <c r="G3359" s="4" t="n">
        <v>4056</v>
      </c>
      <c r="H3359" s="4" t="n">
        <v>1227</v>
      </c>
      <c r="I3359" s="5" t="n">
        <v>35</v>
      </c>
      <c r="J3359" s="5" t="n">
        <v>18.3</v>
      </c>
      <c r="K3359" s="3" t="inlineStr">
        <is>
          <t>nan</t>
        </is>
      </c>
      <c r="L3359" s="6">
        <f>HYPERLINK("https://fin.land.naver.com/articles/2656056111", "매물Link")</f>
        <v/>
      </c>
      <c r="M3359" s="6">
        <f>HYPERLINK("https://map.naver.com/p/search/현도면 우록리 300", "지도Link")</f>
        <v/>
      </c>
      <c r="N3359" s="6">
        <f>HYPERLINK("http://www.eum.go.kr/web/ar/lu/luLandDet.jsp?pnu=4311232024103000000&amp;isNoScr=script&amp;mode=search", "토지이음")</f>
        <v/>
      </c>
      <c r="O3359" s="3" t="inlineStr">
        <is>
          <t>대웅</t>
        </is>
      </c>
      <c r="P3359" s="4" t="n">
        <v>2</v>
      </c>
      <c r="Q3359" s="4" t="n">
        <v>1996</v>
      </c>
      <c r="R3359" s="3" t="inlineStr">
        <is>
          <t>지정되지않음</t>
        </is>
      </c>
      <c r="S3359" s="3" t="inlineStr">
        <is>
          <t>답</t>
        </is>
      </c>
      <c r="T3359" s="3" t="inlineStr">
        <is>
          <t>완경사</t>
        </is>
      </c>
      <c r="U3359" s="3" t="inlineStr">
        <is>
          <t>부정형</t>
        </is>
      </c>
      <c r="V3359" s="3" t="inlineStr">
        <is>
          <t>세로한면(가)</t>
        </is>
      </c>
    </row>
    <row r="3360">
      <c r="A3360" s="3" t="inlineStr">
        <is>
          <t>현도면 우록리 330</t>
        </is>
      </c>
      <c r="B3360" s="3" t="inlineStr">
        <is>
          <t>생산관리지역</t>
        </is>
      </c>
      <c r="C3360" s="3" t="inlineStr">
        <is>
          <t>대</t>
        </is>
      </c>
      <c r="D3360" s="3" t="inlineStr">
        <is>
          <t>대</t>
        </is>
      </c>
      <c r="E3360" s="3" t="inlineStr">
        <is>
          <t>매매</t>
        </is>
      </c>
      <c r="F3360" s="4" t="n">
        <v>75000</v>
      </c>
      <c r="G3360" s="4" t="n">
        <v>565</v>
      </c>
      <c r="H3360" s="4" t="n">
        <v>171</v>
      </c>
      <c r="I3360" s="5" t="n">
        <v>438.6</v>
      </c>
      <c r="J3360" s="5" t="n">
        <v>35</v>
      </c>
      <c r="K3360" s="3" t="inlineStr">
        <is>
          <t>nan</t>
        </is>
      </c>
      <c r="L3360" s="6">
        <f>HYPERLINK("https://fin.land.naver.com/articles/2655174096", "매물Link")</f>
        <v/>
      </c>
      <c r="M3360" s="6">
        <f>HYPERLINK("https://map.naver.com/p/search/현도면 우록리 330", "지도Link")</f>
        <v/>
      </c>
      <c r="N3360" s="6">
        <f>HYPERLINK("http://www.eum.go.kr/web/ar/lu/luLandDet.jsp?pnu=4311232024103300000&amp;isNoScr=script&amp;mode=search", "토지이음")</f>
        <v/>
      </c>
      <c r="O3360" s="3" t="inlineStr">
        <is>
          <t>청주지웰프로</t>
        </is>
      </c>
      <c r="P3360" s="4" t="n">
        <v>1</v>
      </c>
      <c r="Q3360" s="4" t="n">
        <v>564</v>
      </c>
      <c r="R3360" s="3" t="inlineStr">
        <is>
          <t>지정되지않음</t>
        </is>
      </c>
      <c r="S3360" s="3" t="inlineStr">
        <is>
          <t>단독</t>
        </is>
      </c>
      <c r="T3360" s="3" t="inlineStr">
        <is>
          <t>평지</t>
        </is>
      </c>
      <c r="U3360" s="3" t="inlineStr">
        <is>
          <t>사다리형</t>
        </is>
      </c>
      <c r="V3360" s="3" t="inlineStr">
        <is>
          <t>세로한면(가)</t>
        </is>
      </c>
    </row>
    <row r="3361">
      <c r="A3361" s="3" t="inlineStr">
        <is>
          <t>현도면 우록리 478-2</t>
        </is>
      </c>
      <c r="B3361" s="3" t="inlineStr">
        <is>
          <t>계획관리지역</t>
        </is>
      </c>
      <c r="C3361" s="3" t="inlineStr">
        <is>
          <t>대</t>
        </is>
      </c>
      <c r="D3361" s="3" t="inlineStr">
        <is>
          <t>대</t>
        </is>
      </c>
      <c r="E3361" s="3" t="inlineStr">
        <is>
          <t>매매</t>
        </is>
      </c>
      <c r="F3361" s="4" t="n">
        <v>26000</v>
      </c>
      <c r="G3361" s="4" t="n">
        <v>468</v>
      </c>
      <c r="H3361" s="4" t="n">
        <v>142</v>
      </c>
      <c r="I3361" s="5" t="n">
        <v>183.1</v>
      </c>
      <c r="J3361" s="5" t="n">
        <v>42.7</v>
      </c>
      <c r="K3361" s="3" t="inlineStr">
        <is>
          <t>조용한 전원생활 원하시는분께 적극 추천</t>
        </is>
      </c>
      <c r="L3361" s="6">
        <f>HYPERLINK("https://fin.land.naver.com/articles/2654087557", "매물Link")</f>
        <v/>
      </c>
      <c r="M3361" s="6">
        <f>HYPERLINK("https://map.naver.com/p/search/현도면 우록리 478-2", "지도Link")</f>
        <v/>
      </c>
      <c r="N3361" s="6">
        <f>HYPERLINK("http://www.eum.go.kr/web/ar/lu/luLandDet.jsp?pnu=4311232024104780002&amp;isNoScr=script&amp;mode=search", "토지이음")</f>
        <v/>
      </c>
      <c r="O3361" s="3" t="inlineStr">
        <is>
          <t>114</t>
        </is>
      </c>
      <c r="P3361" s="4" t="n">
        <v>1</v>
      </c>
      <c r="Q3361" s="4" t="n">
        <v>468</v>
      </c>
      <c r="R3361" s="3" t="inlineStr">
        <is>
          <t>지정되지않음</t>
        </is>
      </c>
      <c r="S3361" s="3" t="inlineStr">
        <is>
          <t>단독</t>
        </is>
      </c>
      <c r="T3361" s="3" t="inlineStr">
        <is>
          <t>평지</t>
        </is>
      </c>
      <c r="U3361" s="3" t="inlineStr">
        <is>
          <t>부정형</t>
        </is>
      </c>
      <c r="V3361" s="3" t="inlineStr">
        <is>
          <t>세로한면(가)</t>
        </is>
      </c>
    </row>
    <row r="3362">
      <c r="A3362" s="3" t="inlineStr">
        <is>
          <t>현도면 우록리 480-1</t>
        </is>
      </c>
      <c r="B3362" s="3" t="inlineStr">
        <is>
          <t>생산관리지역</t>
        </is>
      </c>
      <c r="C3362" s="3" t="inlineStr">
        <is>
          <t>전</t>
        </is>
      </c>
      <c r="D3362" s="3" t="inlineStr">
        <is>
          <t>전</t>
        </is>
      </c>
      <c r="E3362" s="3" t="inlineStr">
        <is>
          <t>매매</t>
        </is>
      </c>
      <c r="F3362" s="4" t="n">
        <v>60000</v>
      </c>
      <c r="G3362" s="4" t="n">
        <v>2503</v>
      </c>
      <c r="H3362" s="4" t="n">
        <v>757</v>
      </c>
      <c r="I3362" s="5" t="n">
        <v>79.3</v>
      </c>
      <c r="J3362" s="5" t="n">
        <v>33.6</v>
      </c>
      <c r="K3362" s="3" t="inlineStr">
        <is>
          <t>동남.방서지구 인접, 3순환로 최적의 수혜지, 도로접한 알짜매물</t>
        </is>
      </c>
      <c r="L3362" s="6">
        <f>HYPERLINK("https://fin.land.naver.com/articles/2654086833", "매물Link")</f>
        <v/>
      </c>
      <c r="M3362" s="6">
        <f>HYPERLINK("https://map.naver.com/p/search/현도면 우록리 480-1", "지도Link")</f>
        <v/>
      </c>
      <c r="N3362" s="6">
        <f>HYPERLINK("http://www.eum.go.kr/web/ar/lu/luLandDet.jsp?pnu=4311232024104800001&amp;isNoScr=script&amp;mode=search", "토지이음")</f>
        <v/>
      </c>
      <c r="O3362" s="3" t="inlineStr">
        <is>
          <t>114</t>
        </is>
      </c>
      <c r="P3362" s="4" t="n">
        <v>1</v>
      </c>
      <c r="Q3362" s="4" t="n">
        <v>407</v>
      </c>
      <c r="R3362" s="3" t="inlineStr">
        <is>
          <t>지정되지않음</t>
        </is>
      </c>
      <c r="S3362" s="3" t="inlineStr">
        <is>
          <t>전</t>
        </is>
      </c>
      <c r="T3362" s="3" t="inlineStr">
        <is>
          <t>평지</t>
        </is>
      </c>
      <c r="U3362" s="3" t="inlineStr">
        <is>
          <t>부정형</t>
        </is>
      </c>
      <c r="V3362" s="3" t="inlineStr">
        <is>
          <t>세로한면(가)</t>
        </is>
      </c>
    </row>
    <row r="3363">
      <c r="A3363" s="3" t="inlineStr">
        <is>
          <t>현도면 우록리 481</t>
        </is>
      </c>
      <c r="B3363" s="3" t="inlineStr">
        <is>
          <t>생산관리지역</t>
        </is>
      </c>
      <c r="C3363" s="3" t="inlineStr">
        <is>
          <t>답</t>
        </is>
      </c>
      <c r="D3363" s="3" t="inlineStr">
        <is>
          <t>답</t>
        </is>
      </c>
      <c r="E3363" s="3" t="inlineStr">
        <is>
          <t>매매</t>
        </is>
      </c>
      <c r="F3363" s="4" t="n">
        <v>45000</v>
      </c>
      <c r="G3363" s="4" t="n">
        <v>2503</v>
      </c>
      <c r="H3363" s="4" t="n">
        <v>757</v>
      </c>
      <c r="I3363" s="5" t="n">
        <v>59.4</v>
      </c>
      <c r="J3363" s="5" t="n">
        <v>33.6</v>
      </c>
      <c r="K3363" s="3" t="inlineStr">
        <is>
          <t>급매, 생산관리 농지로 도로접, 창고,2종근생제조업, 단독주택지 추천</t>
        </is>
      </c>
      <c r="L3363" s="6">
        <f>HYPERLINK("https://fin.land.naver.com/articles/2654808923", "매물Link")</f>
        <v/>
      </c>
      <c r="M3363" s="6">
        <f>HYPERLINK("https://map.naver.com/p/search/현도면 우록리 481", "지도Link")</f>
        <v/>
      </c>
      <c r="N3363" s="6">
        <f>HYPERLINK("http://www.eum.go.kr/web/ar/lu/luLandDet.jsp?pnu=4311232024104810000&amp;isNoScr=script&amp;mode=search", "토지이음")</f>
        <v/>
      </c>
      <c r="O3363" s="3" t="inlineStr">
        <is>
          <t>세종복댕이</t>
        </is>
      </c>
      <c r="P3363" s="4" t="n">
        <v>1</v>
      </c>
      <c r="Q3363" s="4" t="n">
        <v>929</v>
      </c>
      <c r="R3363" s="3" t="inlineStr">
        <is>
          <t>지정되지않음</t>
        </is>
      </c>
      <c r="S3363" s="3" t="inlineStr">
        <is>
          <t>답</t>
        </is>
      </c>
      <c r="T3363" s="3" t="inlineStr">
        <is>
          <t>평지</t>
        </is>
      </c>
      <c r="U3363" s="3" t="inlineStr">
        <is>
          <t>부정형</t>
        </is>
      </c>
      <c r="V3363" s="3" t="inlineStr">
        <is>
          <t>세로한면(가)</t>
        </is>
      </c>
    </row>
    <row r="3364">
      <c r="A3364" s="3" t="inlineStr">
        <is>
          <t>현도면 우록리 604-1</t>
        </is>
      </c>
      <c r="B3364" s="3" t="inlineStr">
        <is>
          <t>생산관리지역</t>
        </is>
      </c>
      <c r="C3364" s="3" t="inlineStr">
        <is>
          <t>답</t>
        </is>
      </c>
      <c r="D3364" s="3" t="inlineStr">
        <is>
          <t>답</t>
        </is>
      </c>
      <c r="E3364" s="3" t="inlineStr">
        <is>
          <t>매매</t>
        </is>
      </c>
      <c r="F3364" s="4" t="n">
        <v>72000</v>
      </c>
      <c r="G3364" s="4" t="n">
        <v>4018</v>
      </c>
      <c r="H3364" s="4" t="n">
        <v>1215</v>
      </c>
      <c r="I3364" s="5" t="n">
        <v>59.3</v>
      </c>
      <c r="J3364" s="5" t="n">
        <v>22.1</v>
      </c>
      <c r="K3364" s="3" t="inlineStr">
        <is>
          <t>현도면 지적정리 완료, 모양좋은 토지</t>
        </is>
      </c>
      <c r="L3364" s="6">
        <f>HYPERLINK("https://fin.land.naver.com/articles/2651561768", "매물Link")</f>
        <v/>
      </c>
      <c r="M3364" s="6">
        <f>HYPERLINK("https://map.naver.com/p/search/현도면 우록리 604-1", "지도Link")</f>
        <v/>
      </c>
      <c r="N3364" s="6">
        <f>HYPERLINK("http://www.eum.go.kr/web/ar/lu/luLandDet.jsp?pnu=4311232024106040001&amp;isNoScr=script&amp;mode=search", "토지이음")</f>
        <v/>
      </c>
      <c r="O3364" s="3" t="inlineStr">
        <is>
          <t>부엉이</t>
        </is>
      </c>
      <c r="P3364" s="4" t="n">
        <v>1</v>
      </c>
      <c r="Q3364" s="4" t="n">
        <v>1574</v>
      </c>
      <c r="R3364" s="3" t="inlineStr">
        <is>
          <t>계획관리지역</t>
        </is>
      </c>
      <c r="S3364" s="3" t="inlineStr">
        <is>
          <t>답</t>
        </is>
      </c>
      <c r="T3364" s="3" t="inlineStr">
        <is>
          <t>평지</t>
        </is>
      </c>
      <c r="U3364" s="3" t="inlineStr">
        <is>
          <t>부정형</t>
        </is>
      </c>
      <c r="V3364" s="3" t="inlineStr">
        <is>
          <t>세로한면(가)</t>
        </is>
      </c>
    </row>
    <row r="3365">
      <c r="A3365" s="3" t="inlineStr">
        <is>
          <t>현도면 우록리 89</t>
        </is>
      </c>
      <c r="B3365" s="3" t="inlineStr">
        <is>
          <t>보전관리지역</t>
        </is>
      </c>
      <c r="C3365" s="3" t="inlineStr">
        <is>
          <t>전</t>
        </is>
      </c>
      <c r="D3365" s="3" t="inlineStr">
        <is>
          <t>전</t>
        </is>
      </c>
      <c r="E3365" s="3" t="inlineStr">
        <is>
          <t>매매</t>
        </is>
      </c>
      <c r="F3365" s="4" t="n">
        <v>10000</v>
      </c>
      <c r="G3365" s="4" t="n">
        <v>1064</v>
      </c>
      <c r="H3365" s="4" t="n">
        <v>322</v>
      </c>
      <c r="I3365" s="5" t="n">
        <v>31.1</v>
      </c>
      <c r="J3365" s="5" t="n">
        <v>7.7</v>
      </c>
      <c r="K3365" s="3" t="inlineStr">
        <is>
          <t>맹지매매 차량진입로는 있으며 주말농장으로 추천</t>
        </is>
      </c>
      <c r="L3365" s="6">
        <f>HYPERLINK("https://fin.land.naver.com/articles/2655229113", "매물Link")</f>
        <v/>
      </c>
      <c r="M3365" s="6">
        <f>HYPERLINK("https://map.naver.com/p/search/현도면 우록리 89", "지도Link")</f>
        <v/>
      </c>
      <c r="N3365" s="6">
        <f>HYPERLINK("http://www.eum.go.kr/web/ar/lu/luLandDet.jsp?pnu=4311232024100890000&amp;isNoScr=script&amp;mode=search", "토지이음")</f>
        <v/>
      </c>
      <c r="O3365" s="3" t="inlineStr">
        <is>
          <t>대운</t>
        </is>
      </c>
      <c r="P3365" s="4" t="n">
        <v>1</v>
      </c>
      <c r="Q3365" s="4" t="n">
        <v>1064</v>
      </c>
      <c r="R3365" s="3" t="inlineStr">
        <is>
          <t>지정되지않음</t>
        </is>
      </c>
      <c r="S3365" s="3" t="inlineStr">
        <is>
          <t>전</t>
        </is>
      </c>
      <c r="T3365" s="3" t="inlineStr">
        <is>
          <t>급경사</t>
        </is>
      </c>
      <c r="U3365" s="3" t="inlineStr">
        <is>
          <t>부정형</t>
        </is>
      </c>
      <c r="V3365" s="3" t="inlineStr">
        <is>
          <t>맹지</t>
        </is>
      </c>
    </row>
    <row r="3366">
      <c r="A3366" s="3" t="inlineStr">
        <is>
          <t>현도면 죽암리 184-16</t>
        </is>
      </c>
      <c r="B3366" s="3" t="inlineStr">
        <is>
          <t>계획관리지역</t>
        </is>
      </c>
      <c r="C3366" s="3" t="inlineStr">
        <is>
          <t>임야</t>
        </is>
      </c>
      <c r="D3366" s="3" t="inlineStr">
        <is>
          <t>잡종지</t>
        </is>
      </c>
      <c r="E3366" s="3" t="inlineStr">
        <is>
          <t>매매</t>
        </is>
      </c>
      <c r="F3366" s="4" t="n">
        <v>224400</v>
      </c>
      <c r="G3366" s="4" t="n">
        <v>6743</v>
      </c>
      <c r="H3366" s="4" t="n">
        <v>2040</v>
      </c>
      <c r="I3366" s="5" t="n">
        <v>110</v>
      </c>
      <c r="J3366" s="5" t="n">
        <v>2.4</v>
      </c>
      <c r="K3366" s="3" t="inlineStr">
        <is>
          <t>계획관리지역 잡종지 남청주IC 5분창고포함198㎡자동차물류</t>
        </is>
      </c>
      <c r="L3366" s="6">
        <f>HYPERLINK("https://fin.land.naver.com/articles/2652332379", "매물Link")</f>
        <v/>
      </c>
      <c r="M3366" s="6">
        <f>HYPERLINK("https://map.naver.com/p/search/현도면 죽암리 184-16", "지도Link")</f>
        <v/>
      </c>
      <c r="N3366" s="6">
        <f>HYPERLINK("http://www.eum.go.kr/web/ar/lu/luLandDet.jsp?pnu=4311232034101840016&amp;isNoScr=script&amp;mode=search", "토지이음")</f>
        <v/>
      </c>
      <c r="O3366" s="3" t="inlineStr">
        <is>
          <t>우주</t>
        </is>
      </c>
      <c r="P3366" s="4" t="n">
        <v>1</v>
      </c>
      <c r="Q3366" s="4" t="n">
        <v>230</v>
      </c>
      <c r="R3366" s="3" t="inlineStr">
        <is>
          <t>지정되지않음</t>
        </is>
      </c>
      <c r="S3366" s="3" t="inlineStr">
        <is>
          <t>자연림</t>
        </is>
      </c>
      <c r="T3366" s="3" t="inlineStr">
        <is>
          <t>완경사</t>
        </is>
      </c>
      <c r="U3366" s="3" t="inlineStr">
        <is>
          <t>사다리형</t>
        </is>
      </c>
      <c r="V3366" s="3" t="inlineStr">
        <is>
          <t>맹지</t>
        </is>
      </c>
    </row>
    <row r="3367">
      <c r="A3367" s="3" t="inlineStr">
        <is>
          <t>현도면 죽암리 184-16</t>
        </is>
      </c>
      <c r="B3367" s="3" t="inlineStr">
        <is>
          <t>계획관리지역</t>
        </is>
      </c>
      <c r="C3367" s="3" t="inlineStr">
        <is>
          <t>임야</t>
        </is>
      </c>
      <c r="D3367" s="3" t="inlineStr">
        <is>
          <t>잡종지</t>
        </is>
      </c>
      <c r="E3367" s="3" t="inlineStr">
        <is>
          <t>매매</t>
        </is>
      </c>
      <c r="F3367" s="4" t="n">
        <v>230000</v>
      </c>
      <c r="G3367" s="4" t="n">
        <v>6744</v>
      </c>
      <c r="H3367" s="4" t="n">
        <v>2040</v>
      </c>
      <c r="I3367" s="5" t="n">
        <v>112.7</v>
      </c>
      <c r="J3367" s="5" t="n">
        <v>2.4</v>
      </c>
      <c r="K3367" s="3" t="inlineStr">
        <is>
          <t>2차선 도로접, 남청주 I.C 4분거리, 공장,물류창고추천</t>
        </is>
      </c>
      <c r="L3367" s="6">
        <f>HYPERLINK("https://fin.land.naver.com/articles/2654897612", "매물Link")</f>
        <v/>
      </c>
      <c r="M3367" s="6">
        <f>HYPERLINK("https://map.naver.com/p/search/현도면 죽암리 184-16", "지도Link")</f>
        <v/>
      </c>
      <c r="N3367" s="6">
        <f>HYPERLINK("http://www.eum.go.kr/web/ar/lu/luLandDet.jsp?pnu=4311232034101840016&amp;isNoScr=script&amp;mode=search", "토지이음")</f>
        <v/>
      </c>
      <c r="O3367" s="3" t="inlineStr">
        <is>
          <t>플러스자이합동</t>
        </is>
      </c>
      <c r="P3367" s="4" t="n">
        <v>1</v>
      </c>
      <c r="Q3367" s="4" t="n">
        <v>230</v>
      </c>
      <c r="R3367" s="3" t="inlineStr">
        <is>
          <t>지정되지않음</t>
        </is>
      </c>
      <c r="S3367" s="3" t="inlineStr">
        <is>
          <t>자연림</t>
        </is>
      </c>
      <c r="T3367" s="3" t="inlineStr">
        <is>
          <t>완경사</t>
        </is>
      </c>
      <c r="U3367" s="3" t="inlineStr">
        <is>
          <t>사다리형</t>
        </is>
      </c>
      <c r="V3367" s="3" t="inlineStr">
        <is>
          <t>맹지</t>
        </is>
      </c>
    </row>
    <row r="3368">
      <c r="A3368" s="3" t="inlineStr">
        <is>
          <t>현도면 죽암리 184-9</t>
        </is>
      </c>
      <c r="B3368" s="3" t="inlineStr">
        <is>
          <t>계획관리지역</t>
        </is>
      </c>
      <c r="C3368" s="3" t="inlineStr">
        <is>
          <t>잡종지</t>
        </is>
      </c>
      <c r="D3368" s="3" t="inlineStr">
        <is>
          <t>잡종지</t>
        </is>
      </c>
      <c r="E3368" s="3" t="inlineStr">
        <is>
          <t>매매</t>
        </is>
      </c>
      <c r="F3368" s="4" t="n">
        <v>265000</v>
      </c>
      <c r="G3368" s="4" t="n">
        <v>6743</v>
      </c>
      <c r="H3368" s="4" t="n">
        <v>2040</v>
      </c>
      <c r="I3368" s="5" t="n">
        <v>129.9</v>
      </c>
      <c r="J3368" s="5" t="n">
        <v>63</v>
      </c>
      <c r="K3368" s="3" t="inlineStr">
        <is>
          <t>IC인근  공장부지 창고부지 좋습니다</t>
        </is>
      </c>
      <c r="L3368" s="6">
        <f>HYPERLINK("https://fin.land.naver.com/articles/2655409542", "매물Link")</f>
        <v/>
      </c>
      <c r="M3368" s="6">
        <f>HYPERLINK("https://map.naver.com/p/search/현도면 죽암리 184-9", "지도Link")</f>
        <v/>
      </c>
      <c r="N3368" s="6">
        <f>HYPERLINK("http://www.eum.go.kr/web/ar/lu/luLandDet.jsp?pnu=4311232034101840009&amp;isNoScr=script&amp;mode=search", "토지이음")</f>
        <v/>
      </c>
      <c r="O3368" s="3" t="inlineStr">
        <is>
          <t>동일스위트대표</t>
        </is>
      </c>
      <c r="P3368" s="4" t="n">
        <v>4</v>
      </c>
      <c r="Q3368" s="4" t="n">
        <v>6514</v>
      </c>
      <c r="R3368" s="3" t="inlineStr">
        <is>
          <t>지정되지않음</t>
        </is>
      </c>
      <c r="S3368" s="3" t="inlineStr">
        <is>
          <t>공업기타</t>
        </is>
      </c>
      <c r="T3368" s="3" t="inlineStr">
        <is>
          <t>완경사</t>
        </is>
      </c>
      <c r="U3368" s="3" t="inlineStr">
        <is>
          <t>사다리형</t>
        </is>
      </c>
      <c r="V3368" s="3" t="inlineStr">
        <is>
          <t>소로한면</t>
        </is>
      </c>
    </row>
    <row r="3369">
      <c r="A3369" s="3" t="inlineStr">
        <is>
          <t>현도면 죽암리 184-9</t>
        </is>
      </c>
      <c r="B3369" s="3" t="inlineStr">
        <is>
          <t>계획관리지역</t>
        </is>
      </c>
      <c r="C3369" s="3" t="inlineStr">
        <is>
          <t>잡종지</t>
        </is>
      </c>
      <c r="D3369" s="3" t="inlineStr">
        <is>
          <t>잡종지</t>
        </is>
      </c>
      <c r="E3369" s="3" t="inlineStr">
        <is>
          <t>매매</t>
        </is>
      </c>
      <c r="F3369" s="4" t="n">
        <v>223000</v>
      </c>
      <c r="G3369" s="4" t="n">
        <v>6744</v>
      </c>
      <c r="H3369" s="4" t="n">
        <v>2040</v>
      </c>
      <c r="I3369" s="5" t="n">
        <v>109.3</v>
      </c>
      <c r="J3369" s="5" t="n">
        <v>63</v>
      </c>
      <c r="K3369" s="3" t="inlineStr">
        <is>
          <t>즉시사용가능 재활용부지  화물자동차매매상사, 공장부지 , 창고 부지</t>
        </is>
      </c>
      <c r="L3369" s="6">
        <f>HYPERLINK("https://fin.land.naver.com/articles/2655486888", "매물Link")</f>
        <v/>
      </c>
      <c r="M3369" s="6">
        <f>HYPERLINK("https://map.naver.com/p/search/현도면 죽암리 184-9", "지도Link")</f>
        <v/>
      </c>
      <c r="N3369" s="6">
        <f>HYPERLINK("http://www.eum.go.kr/web/ar/lu/luLandDet.jsp?pnu=4311232034101840009&amp;isNoScr=script&amp;mode=search", "토지이음")</f>
        <v/>
      </c>
      <c r="O3369" s="3" t="inlineStr">
        <is>
          <t>대전토지로무소</t>
        </is>
      </c>
      <c r="P3369" s="4" t="n">
        <v>1</v>
      </c>
      <c r="Q3369" s="4" t="n">
        <v>6514</v>
      </c>
      <c r="R3369" s="3" t="inlineStr">
        <is>
          <t>지정되지않음</t>
        </is>
      </c>
      <c r="S3369" s="3" t="inlineStr">
        <is>
          <t>공업기타</t>
        </is>
      </c>
      <c r="T3369" s="3" t="inlineStr">
        <is>
          <t>완경사</t>
        </is>
      </c>
      <c r="U3369" s="3" t="inlineStr">
        <is>
          <t>사다리형</t>
        </is>
      </c>
      <c r="V3369" s="3" t="inlineStr">
        <is>
          <t>소로한면</t>
        </is>
      </c>
    </row>
    <row r="3370">
      <c r="A3370" s="3" t="inlineStr">
        <is>
          <t>현도면 죽암리 184-9</t>
        </is>
      </c>
      <c r="B3370" s="3" t="inlineStr">
        <is>
          <t>계획관리지역</t>
        </is>
      </c>
      <c r="C3370" s="3" t="inlineStr">
        <is>
          <t>잡종지</t>
        </is>
      </c>
      <c r="D3370" s="3" t="inlineStr">
        <is>
          <t>임야</t>
        </is>
      </c>
      <c r="E3370" s="3" t="inlineStr">
        <is>
          <t>매매</t>
        </is>
      </c>
      <c r="F3370" s="4" t="n">
        <v>275400</v>
      </c>
      <c r="G3370" s="4" t="n">
        <v>6743</v>
      </c>
      <c r="H3370" s="4" t="n">
        <v>2040</v>
      </c>
      <c r="I3370" s="5" t="n">
        <v>135</v>
      </c>
      <c r="J3370" s="5" t="n">
        <v>63</v>
      </c>
      <c r="K3370" s="3" t="inlineStr">
        <is>
          <t>nan</t>
        </is>
      </c>
      <c r="L3370" s="6">
        <f>HYPERLINK("https://fin.land.naver.com/articles/2655425181", "매물Link")</f>
        <v/>
      </c>
      <c r="M3370" s="6">
        <f>HYPERLINK("https://map.naver.com/p/search/현도면 죽암리 184-9", "지도Link")</f>
        <v/>
      </c>
      <c r="N3370" s="6">
        <f>HYPERLINK("http://www.eum.go.kr/web/ar/lu/luLandDet.jsp?pnu=4311232034101840009&amp;isNoScr=script&amp;mode=search", "토지이음")</f>
        <v/>
      </c>
      <c r="O3370" s="3" t="inlineStr">
        <is>
          <t>청주합동</t>
        </is>
      </c>
      <c r="P3370" s="4" t="n">
        <v>2</v>
      </c>
      <c r="Q3370" s="4" t="n">
        <v>6514</v>
      </c>
      <c r="R3370" s="3" t="inlineStr">
        <is>
          <t>지정되지않음</t>
        </is>
      </c>
      <c r="S3370" s="3" t="inlineStr">
        <is>
          <t>공업기타</t>
        </is>
      </c>
      <c r="T3370" s="3" t="inlineStr">
        <is>
          <t>완경사</t>
        </is>
      </c>
      <c r="U3370" s="3" t="inlineStr">
        <is>
          <t>사다리형</t>
        </is>
      </c>
      <c r="V3370" s="3" t="inlineStr">
        <is>
          <t>소로한면</t>
        </is>
      </c>
    </row>
    <row r="3371">
      <c r="A3371" s="3" t="inlineStr">
        <is>
          <t>현도면 죽암리 184-9</t>
        </is>
      </c>
      <c r="B3371" s="3" t="inlineStr">
        <is>
          <t>계획관리지역</t>
        </is>
      </c>
      <c r="C3371" s="3" t="inlineStr">
        <is>
          <t>잡종지</t>
        </is>
      </c>
      <c r="D3371" s="3" t="inlineStr">
        <is>
          <t>잡종지</t>
        </is>
      </c>
      <c r="E3371" s="3" t="inlineStr">
        <is>
          <t>월세</t>
        </is>
      </c>
      <c r="F3371" s="4" t="n">
        <v>10000</v>
      </c>
      <c r="G3371" s="4" t="n">
        <v>6744</v>
      </c>
      <c r="H3371" s="4" t="n">
        <v>2040</v>
      </c>
      <c r="I3371" s="5" t="n">
        <v>0.4</v>
      </c>
      <c r="J3371" s="5" t="n">
        <v>63</v>
      </c>
      <c r="K3371" s="3" t="inlineStr">
        <is>
          <t>즉시사용가능한 나대지 야적장 화물자동차매매상사, 공장 및 창고 부지</t>
        </is>
      </c>
      <c r="L3371" s="6">
        <f>HYPERLINK("https://fin.land.naver.com/articles/2654969454", "매물Link")</f>
        <v/>
      </c>
      <c r="M3371" s="6">
        <f>HYPERLINK("https://map.naver.com/p/search/현도면 죽암리 184-9", "지도Link")</f>
        <v/>
      </c>
      <c r="N3371" s="6">
        <f>HYPERLINK("http://www.eum.go.kr/web/ar/lu/luLandDet.jsp?pnu=4311232034101840009&amp;isNoScr=script&amp;mode=search", "토지이음")</f>
        <v/>
      </c>
      <c r="O3371" s="3" t="inlineStr">
        <is>
          <t>대전토지로무소</t>
        </is>
      </c>
      <c r="P3371" s="4" t="n">
        <v>1</v>
      </c>
      <c r="Q3371" s="4" t="n">
        <v>6514</v>
      </c>
      <c r="R3371" s="3" t="inlineStr">
        <is>
          <t>지정되지않음</t>
        </is>
      </c>
      <c r="S3371" s="3" t="inlineStr">
        <is>
          <t>공업기타</t>
        </is>
      </c>
      <c r="T3371" s="3" t="inlineStr">
        <is>
          <t>완경사</t>
        </is>
      </c>
      <c r="U3371" s="3" t="inlineStr">
        <is>
          <t>사다리형</t>
        </is>
      </c>
      <c r="V3371" s="3" t="inlineStr">
        <is>
          <t>소로한면</t>
        </is>
      </c>
    </row>
    <row r="3372">
      <c r="A3372" s="3" t="inlineStr">
        <is>
          <t>현도면 죽암리 184-9</t>
        </is>
      </c>
      <c r="B3372" s="3" t="inlineStr">
        <is>
          <t>계획관리지역</t>
        </is>
      </c>
      <c r="C3372" s="3" t="inlineStr">
        <is>
          <t>잡종지</t>
        </is>
      </c>
      <c r="D3372" s="3" t="inlineStr">
        <is>
          <t>잡종지</t>
        </is>
      </c>
      <c r="E3372" s="3" t="inlineStr">
        <is>
          <t>월세</t>
        </is>
      </c>
      <c r="F3372" s="4" t="n">
        <v>10000</v>
      </c>
      <c r="G3372" s="4" t="n">
        <v>6514</v>
      </c>
      <c r="H3372" s="4" t="n">
        <v>1970</v>
      </c>
      <c r="I3372" s="5" t="n">
        <v>0.4</v>
      </c>
      <c r="J3372" s="5" t="n">
        <v>63</v>
      </c>
      <c r="K3372" s="3" t="inlineStr">
        <is>
          <t>남청주IC에서 5분거리, 현제 화물자동차 매매상사, 즉시입주가능</t>
        </is>
      </c>
      <c r="L3372" s="6">
        <f>HYPERLINK("https://fin.land.naver.com/articles/2652777346", "매물Link")</f>
        <v/>
      </c>
      <c r="M3372" s="6">
        <f>HYPERLINK("https://map.naver.com/p/search/현도면 죽암리 184-9", "지도Link")</f>
        <v/>
      </c>
      <c r="N3372" s="6">
        <f>HYPERLINK("http://www.eum.go.kr/web/ar/lu/luLandDet.jsp?pnu=4311232034101840009&amp;isNoScr=script&amp;mode=search", "토지이음")</f>
        <v/>
      </c>
      <c r="O3372" s="3" t="inlineStr">
        <is>
          <t>금화랜드</t>
        </is>
      </c>
      <c r="P3372" s="4" t="n">
        <v>1</v>
      </c>
      <c r="Q3372" s="4" t="n">
        <v>6514</v>
      </c>
      <c r="R3372" s="3" t="inlineStr">
        <is>
          <t>지정되지않음</t>
        </is>
      </c>
      <c r="S3372" s="3" t="inlineStr">
        <is>
          <t>공업기타</t>
        </is>
      </c>
      <c r="T3372" s="3" t="inlineStr">
        <is>
          <t>완경사</t>
        </is>
      </c>
      <c r="U3372" s="3" t="inlineStr">
        <is>
          <t>사다리형</t>
        </is>
      </c>
      <c r="V3372" s="3" t="inlineStr">
        <is>
          <t>소로한면</t>
        </is>
      </c>
    </row>
    <row r="3373">
      <c r="A3373" s="3" t="inlineStr">
        <is>
          <t>현도면 죽암리 184-9</t>
        </is>
      </c>
      <c r="B3373" s="3" t="inlineStr">
        <is>
          <t>계획관리지역</t>
        </is>
      </c>
      <c r="C3373" s="3" t="inlineStr">
        <is>
          <t>잡종지</t>
        </is>
      </c>
      <c r="D3373" s="3" t="inlineStr">
        <is>
          <t>잡종지</t>
        </is>
      </c>
      <c r="E3373" s="3" t="inlineStr">
        <is>
          <t>매매</t>
        </is>
      </c>
      <c r="F3373" s="4" t="n">
        <v>276000</v>
      </c>
      <c r="G3373" s="4" t="n">
        <v>6514</v>
      </c>
      <c r="H3373" s="4" t="n">
        <v>1970</v>
      </c>
      <c r="I3373" s="5" t="n">
        <v>140.1</v>
      </c>
      <c r="J3373" s="5" t="n">
        <v>63</v>
      </c>
      <c r="K3373" s="3" t="inlineStr">
        <is>
          <t>OK. 급매. 계획관리지역, 성장관리계획구역.</t>
        </is>
      </c>
      <c r="L3373" s="6">
        <f>HYPERLINK("https://fin.land.naver.com/articles/2654953187", "매물Link")</f>
        <v/>
      </c>
      <c r="M3373" s="6">
        <f>HYPERLINK("https://map.naver.com/p/search/현도면 죽암리 184-9", "지도Link")</f>
        <v/>
      </c>
      <c r="N3373" s="6">
        <f>HYPERLINK("http://www.eum.go.kr/web/ar/lu/luLandDet.jsp?pnu=4311232034101840009&amp;isNoScr=script&amp;mode=search", "토지이음")</f>
        <v/>
      </c>
      <c r="O3373" s="3" t="inlineStr">
        <is>
          <t>OK</t>
        </is>
      </c>
      <c r="P3373" s="4" t="n">
        <v>1</v>
      </c>
      <c r="Q3373" s="4" t="n">
        <v>6514</v>
      </c>
      <c r="R3373" s="3" t="inlineStr">
        <is>
          <t>지정되지않음</t>
        </is>
      </c>
      <c r="S3373" s="3" t="inlineStr">
        <is>
          <t>공업기타</t>
        </is>
      </c>
      <c r="T3373" s="3" t="inlineStr">
        <is>
          <t>완경사</t>
        </is>
      </c>
      <c r="U3373" s="3" t="inlineStr">
        <is>
          <t>사다리형</t>
        </is>
      </c>
      <c r="V3373" s="3" t="inlineStr">
        <is>
          <t>소로한면</t>
        </is>
      </c>
    </row>
    <row r="3374">
      <c r="A3374" s="3" t="inlineStr">
        <is>
          <t>현도면 죽전리 356-3</t>
        </is>
      </c>
      <c r="B3374" s="3" t="inlineStr">
        <is>
          <t>계획관리지역</t>
        </is>
      </c>
      <c r="C3374" s="3" t="inlineStr">
        <is>
          <t>전</t>
        </is>
      </c>
      <c r="D3374" s="3" t="inlineStr">
        <is>
          <t>전</t>
        </is>
      </c>
      <c r="E3374" s="3" t="inlineStr">
        <is>
          <t>매매</t>
        </is>
      </c>
      <c r="F3374" s="4" t="n">
        <v>52800</v>
      </c>
      <c r="G3374" s="4" t="n">
        <v>919</v>
      </c>
      <c r="H3374" s="4" t="n">
        <v>278</v>
      </c>
      <c r="I3374" s="5" t="n">
        <v>189.9</v>
      </c>
      <c r="J3374" s="5" t="n">
        <v>31.7</v>
      </c>
      <c r="K3374" s="3" t="inlineStr">
        <is>
          <t>도로에 접한 농지 매매</t>
        </is>
      </c>
      <c r="L3374" s="6">
        <f>HYPERLINK("https://fin.land.naver.com/articles/2655015930", "매물Link")</f>
        <v/>
      </c>
      <c r="M3374" s="6">
        <f>HYPERLINK("https://map.naver.com/p/search/현도면 죽전리 356-3", "지도Link")</f>
        <v/>
      </c>
      <c r="N3374" s="6">
        <f>HYPERLINK("http://www.eum.go.kr/web/ar/lu/luLandDet.jsp?pnu=4311232023103560003&amp;isNoScr=script&amp;mode=search", "토지이음")</f>
        <v/>
      </c>
      <c r="O3374" s="3" t="inlineStr">
        <is>
          <t>복돼지</t>
        </is>
      </c>
      <c r="P3374" s="4" t="n">
        <v>1</v>
      </c>
      <c r="Q3374" s="4" t="n">
        <v>919</v>
      </c>
      <c r="R3374" s="3" t="inlineStr">
        <is>
          <t>지정되지않음</t>
        </is>
      </c>
      <c r="S3374" s="3" t="inlineStr">
        <is>
          <t>전</t>
        </is>
      </c>
      <c r="T3374" s="3" t="inlineStr">
        <is>
          <t>평지</t>
        </is>
      </c>
      <c r="U3374" s="3" t="inlineStr">
        <is>
          <t>부정형</t>
        </is>
      </c>
      <c r="V3374" s="3" t="inlineStr">
        <is>
          <t>세로한면(가)</t>
        </is>
      </c>
    </row>
    <row r="3375">
      <c r="A3375" s="3" t="inlineStr">
        <is>
          <t>현도면 죽전리 356-3</t>
        </is>
      </c>
      <c r="B3375" s="3" t="inlineStr">
        <is>
          <t>계획관리지역</t>
        </is>
      </c>
      <c r="C3375" s="3" t="inlineStr">
        <is>
          <t>전</t>
        </is>
      </c>
      <c r="D3375" s="3" t="inlineStr">
        <is>
          <t>전</t>
        </is>
      </c>
      <c r="E3375" s="3" t="inlineStr">
        <is>
          <t>매매</t>
        </is>
      </c>
      <c r="F3375" s="4" t="n">
        <v>52000</v>
      </c>
      <c r="G3375" s="4" t="n">
        <v>919</v>
      </c>
      <c r="H3375" s="4" t="n">
        <v>278</v>
      </c>
      <c r="I3375" s="5" t="n">
        <v>187.1</v>
      </c>
      <c r="J3375" s="5" t="n">
        <v>31.7</v>
      </c>
      <c r="K3375" s="3" t="inlineStr">
        <is>
          <t>전면이 넓은 토지로 공장부지, 창고부지, 야적장 등 용도다양함</t>
        </is>
      </c>
      <c r="L3375" s="6">
        <f>HYPERLINK("https://fin.land.naver.com/articles/2655487390", "매물Link")</f>
        <v/>
      </c>
      <c r="M3375" s="6">
        <f>HYPERLINK("https://map.naver.com/p/search/현도면 죽전리 356-3", "지도Link")</f>
        <v/>
      </c>
      <c r="N3375" s="6">
        <f>HYPERLINK("http://www.eum.go.kr/web/ar/lu/luLandDet.jsp?pnu=4311232023103560003&amp;isNoScr=script&amp;mode=search", "토지이음")</f>
        <v/>
      </c>
      <c r="O3375" s="3" t="inlineStr">
        <is>
          <t>대전토지로무소</t>
        </is>
      </c>
      <c r="P3375" s="4" t="n">
        <v>1</v>
      </c>
      <c r="Q3375" s="4" t="n">
        <v>919</v>
      </c>
      <c r="R3375" s="3" t="inlineStr">
        <is>
          <t>지정되지않음</t>
        </is>
      </c>
      <c r="S3375" s="3" t="inlineStr">
        <is>
          <t>전</t>
        </is>
      </c>
      <c r="T3375" s="3" t="inlineStr">
        <is>
          <t>평지</t>
        </is>
      </c>
      <c r="U3375" s="3" t="inlineStr">
        <is>
          <t>부정형</t>
        </is>
      </c>
      <c r="V3375" s="3" t="inlineStr">
        <is>
          <t>세로한면(가)</t>
        </is>
      </c>
    </row>
    <row r="3376">
      <c r="A3376" s="3" t="inlineStr">
        <is>
          <t>현도면 죽전리 594-3</t>
        </is>
      </c>
      <c r="B3376" s="3" t="inlineStr">
        <is>
          <t>계획관리지역</t>
        </is>
      </c>
      <c r="C3376" s="3" t="inlineStr">
        <is>
          <t>전</t>
        </is>
      </c>
      <c r="D3376" s="3" t="inlineStr">
        <is>
          <t>전</t>
        </is>
      </c>
      <c r="E3376" s="3" t="inlineStr">
        <is>
          <t>매매</t>
        </is>
      </c>
      <c r="F3376" s="4" t="n">
        <v>29700</v>
      </c>
      <c r="G3376" s="4" t="n">
        <v>984</v>
      </c>
      <c r="H3376" s="4" t="n">
        <v>298</v>
      </c>
      <c r="I3376" s="5" t="n">
        <v>99.7</v>
      </c>
      <c r="J3376" s="5" t="n">
        <v>31.6</v>
      </c>
      <c r="K3376" s="3" t="inlineStr">
        <is>
          <t>계획관리지역 토지 공장이나 창고부지 추천</t>
        </is>
      </c>
      <c r="L3376" s="6">
        <f>HYPERLINK("https://fin.land.naver.com/articles/2652887475", "매물Link")</f>
        <v/>
      </c>
      <c r="M3376" s="6">
        <f>HYPERLINK("https://map.naver.com/p/search/현도면 죽전리 594-3", "지도Link")</f>
        <v/>
      </c>
      <c r="N3376" s="6">
        <f>HYPERLINK("http://www.eum.go.kr/web/ar/lu/luLandDet.jsp?pnu=4311232023105940003&amp;isNoScr=script&amp;mode=search", "토지이음")</f>
        <v/>
      </c>
      <c r="O3376" s="3" t="inlineStr">
        <is>
          <t>대전토지로무소</t>
        </is>
      </c>
      <c r="P3376" s="4" t="n">
        <v>1</v>
      </c>
      <c r="Q3376" s="4" t="n">
        <v>984</v>
      </c>
      <c r="R3376" s="3" t="inlineStr">
        <is>
          <t>지정되지않음</t>
        </is>
      </c>
      <c r="S3376" s="3" t="inlineStr">
        <is>
          <t>전</t>
        </is>
      </c>
      <c r="T3376" s="3" t="inlineStr">
        <is>
          <t>평지</t>
        </is>
      </c>
      <c r="U3376" s="3" t="inlineStr">
        <is>
          <t>사다리형</t>
        </is>
      </c>
      <c r="V3376" s="3" t="inlineStr">
        <is>
          <t>세로한면(불)</t>
        </is>
      </c>
    </row>
    <row r="3377">
      <c r="A3377" s="3" t="inlineStr">
        <is>
          <t>현도면 중삼리 165</t>
        </is>
      </c>
      <c r="B3377" s="3" t="inlineStr">
        <is>
          <t>계획관리지역</t>
        </is>
      </c>
      <c r="C3377" s="3" t="inlineStr">
        <is>
          <t>전</t>
        </is>
      </c>
      <c r="D3377" s="3" t="inlineStr">
        <is>
          <t>전</t>
        </is>
      </c>
      <c r="E3377" s="3" t="inlineStr">
        <is>
          <t>매매</t>
        </is>
      </c>
      <c r="F3377" s="4" t="n">
        <v>13800</v>
      </c>
      <c r="G3377" s="4" t="n">
        <v>1071</v>
      </c>
      <c r="H3377" s="4" t="n">
        <v>324</v>
      </c>
      <c r="I3377" s="5" t="n">
        <v>42.6</v>
      </c>
      <c r="J3377" s="5" t="n">
        <v>20.1</v>
      </c>
      <c r="K3377" s="3" t="inlineStr">
        <is>
          <t>계획관리지역 토지로 , 향후 개발지로 투자가치 있는곳임.</t>
        </is>
      </c>
      <c r="L3377" s="6">
        <f>HYPERLINK("https://fin.land.naver.com/articles/2654695492", "매물Link")</f>
        <v/>
      </c>
      <c r="M3377" s="6">
        <f>HYPERLINK("https://map.naver.com/p/search/현도면 중삼리 165", "지도Link")</f>
        <v/>
      </c>
      <c r="N3377" s="6">
        <f>HYPERLINK("http://www.eum.go.kr/web/ar/lu/luLandDet.jsp?pnu=4311232022101650000&amp;isNoScr=script&amp;mode=search", "토지이음")</f>
        <v/>
      </c>
      <c r="O3377" s="3" t="inlineStr">
        <is>
          <t>포시즌</t>
        </is>
      </c>
      <c r="P3377" s="4" t="n">
        <v>1</v>
      </c>
      <c r="Q3377" s="4" t="n">
        <v>1071</v>
      </c>
      <c r="R3377" s="3" t="inlineStr">
        <is>
          <t>지정되지않음</t>
        </is>
      </c>
      <c r="S3377" s="3" t="inlineStr">
        <is>
          <t>전</t>
        </is>
      </c>
      <c r="T3377" s="3" t="inlineStr">
        <is>
          <t>완경사</t>
        </is>
      </c>
      <c r="U3377" s="3" t="inlineStr">
        <is>
          <t>사다리형</t>
        </is>
      </c>
      <c r="V3377" s="3" t="inlineStr">
        <is>
          <t>맹지</t>
        </is>
      </c>
    </row>
    <row r="3378">
      <c r="A3378" s="3" t="inlineStr">
        <is>
          <t>현도면 중삼리 208</t>
        </is>
      </c>
      <c r="B3378" s="3" t="inlineStr">
        <is>
          <t>계획관리지역</t>
        </is>
      </c>
      <c r="C3378" s="3" t="inlineStr">
        <is>
          <t>전</t>
        </is>
      </c>
      <c r="D3378" s="3" t="inlineStr">
        <is>
          <t>전</t>
        </is>
      </c>
      <c r="E3378" s="3" t="inlineStr">
        <is>
          <t>매매</t>
        </is>
      </c>
      <c r="F3378" s="4" t="n">
        <v>550000</v>
      </c>
      <c r="G3378" s="4" t="n">
        <v>9071</v>
      </c>
      <c r="H3378" s="4" t="n">
        <v>2744</v>
      </c>
      <c r="I3378" s="5" t="n">
        <v>200.4</v>
      </c>
      <c r="J3378" s="5" t="n">
        <v>32.9</v>
      </c>
      <c r="K3378" s="3" t="inlineStr">
        <is>
          <t>8m도로접, 제2종 근생허가득, 토목공사 완료, 공장추천</t>
        </is>
      </c>
      <c r="L3378" s="6">
        <f>HYPERLINK("https://fin.land.naver.com/articles/2656534450", "매물Link")</f>
        <v/>
      </c>
      <c r="M3378" s="6">
        <f>HYPERLINK("https://map.naver.com/p/search/현도면 중삼리 208", "지도Link")</f>
        <v/>
      </c>
      <c r="N3378" s="6">
        <f>HYPERLINK("http://www.eum.go.kr/web/ar/lu/luLandDet.jsp?pnu=4311232022102080000&amp;isNoScr=script&amp;mode=search", "토지이음")</f>
        <v/>
      </c>
      <c r="O3378" s="3" t="inlineStr">
        <is>
          <t>플러스자이합동</t>
        </is>
      </c>
      <c r="P3378" s="4" t="n">
        <v>1</v>
      </c>
      <c r="Q3378" s="4" t="n">
        <v>2506</v>
      </c>
      <c r="R3378" s="3" t="inlineStr">
        <is>
          <t>지정되지않음</t>
        </is>
      </c>
      <c r="S3378" s="3" t="inlineStr">
        <is>
          <t>전</t>
        </is>
      </c>
      <c r="T3378" s="3" t="inlineStr">
        <is>
          <t>평지</t>
        </is>
      </c>
      <c r="U3378" s="3" t="inlineStr">
        <is>
          <t>부정형</t>
        </is>
      </c>
      <c r="V3378" s="3" t="inlineStr">
        <is>
          <t>소로한면</t>
        </is>
      </c>
    </row>
    <row r="3379">
      <c r="A3379" s="3" t="inlineStr">
        <is>
          <t>현도면 중삼리 297-12</t>
        </is>
      </c>
      <c r="B3379" s="3" t="inlineStr">
        <is>
          <t>계획관리지역</t>
        </is>
      </c>
      <c r="C3379" s="3" t="inlineStr">
        <is>
          <t>잡종지</t>
        </is>
      </c>
      <c r="D3379" s="3" t="inlineStr">
        <is>
          <t>잡종지</t>
        </is>
      </c>
      <c r="E3379" s="3" t="inlineStr">
        <is>
          <t>매매</t>
        </is>
      </c>
      <c r="F3379" s="4" t="n">
        <v>151000</v>
      </c>
      <c r="G3379" s="4" t="n">
        <v>2527</v>
      </c>
      <c r="H3379" s="4" t="n">
        <v>764</v>
      </c>
      <c r="I3379" s="5" t="n">
        <v>197.6</v>
      </c>
      <c r="J3379" s="5" t="n">
        <v>48.9</v>
      </c>
      <c r="K3379" s="3" t="inlineStr">
        <is>
          <t>현재 자원순환시설로 성업중,공장,창고,자동차관련시설 등 추천</t>
        </is>
      </c>
      <c r="L3379" s="6">
        <f>HYPERLINK("https://fin.land.naver.com/articles/2654608888", "매물Link")</f>
        <v/>
      </c>
      <c r="M3379" s="6">
        <f>HYPERLINK("https://map.naver.com/p/search/현도면 중삼리 297-12", "지도Link")</f>
        <v/>
      </c>
      <c r="N3379" s="6">
        <f>HYPERLINK("http://www.eum.go.kr/web/ar/lu/luLandDet.jsp?pnu=4311232022102970012&amp;isNoScr=script&amp;mode=search", "토지이음")</f>
        <v/>
      </c>
      <c r="O3379" s="3" t="inlineStr">
        <is>
          <t>금화랜드</t>
        </is>
      </c>
      <c r="P3379" s="4" t="n">
        <v>1</v>
      </c>
      <c r="Q3379" s="4" t="n">
        <v>2167</v>
      </c>
      <c r="R3379" s="3" t="inlineStr">
        <is>
          <t>지정되지않음</t>
        </is>
      </c>
      <c r="S3379" s="3" t="inlineStr">
        <is>
          <t>공업기타</t>
        </is>
      </c>
      <c r="T3379" s="3" t="inlineStr">
        <is>
          <t>완경사</t>
        </is>
      </c>
      <c r="U3379" s="3" t="inlineStr">
        <is>
          <t>사다리형</t>
        </is>
      </c>
      <c r="V3379" s="3" t="inlineStr">
        <is>
          <t>세로한면(가)</t>
        </is>
      </c>
    </row>
    <row r="3380">
      <c r="A3380" s="3" t="inlineStr">
        <is>
          <t>현도면 중삼리 347</t>
        </is>
      </c>
      <c r="B3380" s="3" t="inlineStr">
        <is>
          <t>계획관리지역</t>
        </is>
      </c>
      <c r="C3380" s="3" t="inlineStr">
        <is>
          <t>전</t>
        </is>
      </c>
      <c r="D3380" s="3" t="inlineStr">
        <is>
          <t>공장용지</t>
        </is>
      </c>
      <c r="E3380" s="3" t="inlineStr">
        <is>
          <t>매매</t>
        </is>
      </c>
      <c r="F3380" s="4" t="n">
        <v>230000</v>
      </c>
      <c r="G3380" s="4" t="n">
        <v>10211</v>
      </c>
      <c r="H3380" s="4" t="n">
        <v>3089</v>
      </c>
      <c r="I3380" s="5" t="n">
        <v>74.5</v>
      </c>
      <c r="J3380" s="5" t="n">
        <v>20.9</v>
      </c>
      <c r="K3380" s="3" t="inlineStr">
        <is>
          <t>토목공사완료.</t>
        </is>
      </c>
      <c r="L3380" s="6">
        <f>HYPERLINK("https://fin.land.naver.com/articles/2655174551", "매물Link")</f>
        <v/>
      </c>
      <c r="M3380" s="6">
        <f>HYPERLINK("https://map.naver.com/p/search/현도면 중삼리 347", "지도Link")</f>
        <v/>
      </c>
      <c r="N3380" s="6">
        <f>HYPERLINK("http://www.eum.go.kr/web/ar/lu/luLandDet.jsp?pnu=4311232022103470000&amp;isNoScr=script&amp;mode=search", "토지이음")</f>
        <v/>
      </c>
      <c r="O3380" s="3" t="inlineStr">
        <is>
          <t>대전명품</t>
        </is>
      </c>
      <c r="P3380" s="4" t="n">
        <v>1</v>
      </c>
      <c r="Q3380" s="4" t="n">
        <v>321</v>
      </c>
      <c r="R3380" s="3" t="inlineStr">
        <is>
          <t>지정되지않음</t>
        </is>
      </c>
      <c r="S3380" s="3" t="inlineStr">
        <is>
          <t>전</t>
        </is>
      </c>
      <c r="T3380" s="3" t="inlineStr">
        <is>
          <t>완경사</t>
        </is>
      </c>
      <c r="U3380" s="3" t="inlineStr">
        <is>
          <t>부정형</t>
        </is>
      </c>
      <c r="V3380" s="3" t="inlineStr">
        <is>
          <t>맹지</t>
        </is>
      </c>
    </row>
    <row r="3381">
      <c r="A3381" s="3" t="inlineStr">
        <is>
          <t>현도면 중삼리 351</t>
        </is>
      </c>
      <c r="B3381" s="3" t="inlineStr">
        <is>
          <t>계획관리지역</t>
        </is>
      </c>
      <c r="C3381" s="3" t="inlineStr">
        <is>
          <t>전</t>
        </is>
      </c>
      <c r="D3381" s="3" t="inlineStr">
        <is>
          <t>전</t>
        </is>
      </c>
      <c r="E3381" s="3" t="inlineStr">
        <is>
          <t>매매</t>
        </is>
      </c>
      <c r="F3381" s="4" t="n">
        <v>1140000</v>
      </c>
      <c r="G3381" s="4" t="n">
        <v>44628</v>
      </c>
      <c r="H3381" s="4" t="n">
        <v>13500</v>
      </c>
      <c r="I3381" s="5" t="n">
        <v>84.40000000000001</v>
      </c>
      <c r="J3381" s="5" t="n">
        <v>22</v>
      </c>
      <c r="K3381" s="3" t="inlineStr">
        <is>
          <t>남청주IC 5분, 개발행위허가 완료 산업용 개발 부지 급매</t>
        </is>
      </c>
      <c r="L3381" s="6">
        <f>HYPERLINK("https://fin.land.naver.com/articles/2655715992", "매물Link")</f>
        <v/>
      </c>
      <c r="M3381" s="6">
        <f>HYPERLINK("https://map.naver.com/p/search/현도면 중삼리 351", "지도Link")</f>
        <v/>
      </c>
      <c r="N3381" s="6">
        <f>HYPERLINK("http://www.eum.go.kr/web/ar/lu/luLandDet.jsp?pnu=4311232022103510000&amp;isNoScr=script&amp;mode=search", "토지이음")</f>
        <v/>
      </c>
      <c r="O3381" s="3" t="inlineStr">
        <is>
          <t>월드</t>
        </is>
      </c>
      <c r="P3381" s="4" t="n">
        <v>1</v>
      </c>
      <c r="Q3381" s="4" t="n">
        <v>565</v>
      </c>
      <c r="R3381" s="3" t="inlineStr">
        <is>
          <t>지정되지않음</t>
        </is>
      </c>
      <c r="S3381" s="3" t="inlineStr">
        <is>
          <t>전</t>
        </is>
      </c>
      <c r="T3381" s="3" t="inlineStr">
        <is>
          <t>완경사</t>
        </is>
      </c>
      <c r="U3381" s="3" t="inlineStr">
        <is>
          <t>부정형</t>
        </is>
      </c>
      <c r="V3381" s="3" t="inlineStr">
        <is>
          <t>세로한면(불)</t>
        </is>
      </c>
    </row>
    <row r="3382">
      <c r="A3382" s="3" t="inlineStr">
        <is>
          <t>현도면 중삼리 351</t>
        </is>
      </c>
      <c r="B3382" s="3" t="inlineStr">
        <is>
          <t>계획관리지역</t>
        </is>
      </c>
      <c r="C3382" s="3" t="inlineStr">
        <is>
          <t>전</t>
        </is>
      </c>
      <c r="D3382" s="3" t="inlineStr">
        <is>
          <t>임야</t>
        </is>
      </c>
      <c r="E3382" s="3" t="inlineStr">
        <is>
          <t>매매</t>
        </is>
      </c>
      <c r="F3382" s="4" t="n">
        <v>1140000</v>
      </c>
      <c r="G3382" s="4" t="n">
        <v>44628</v>
      </c>
      <c r="H3382" s="4" t="n">
        <v>13500</v>
      </c>
      <c r="I3382" s="5" t="n">
        <v>84.40000000000001</v>
      </c>
      <c r="J3382" s="5" t="n">
        <v>22</v>
      </c>
      <c r="K3382" s="3" t="inlineStr">
        <is>
          <t>남청주 IC약 5분거리 위치한 물류 부지 및 공장,창고 용지 입니다</t>
        </is>
      </c>
      <c r="L3382" s="6">
        <f>HYPERLINK("https://fin.land.naver.com/articles/2655244033", "매물Link")</f>
        <v/>
      </c>
      <c r="M3382" s="6">
        <f>HYPERLINK("https://map.naver.com/p/search/현도면 중삼리 351", "지도Link")</f>
        <v/>
      </c>
      <c r="N3382" s="6">
        <f>HYPERLINK("http://www.eum.go.kr/web/ar/lu/luLandDet.jsp?pnu=4311232022103510000&amp;isNoScr=script&amp;mode=search", "토지이음")</f>
        <v/>
      </c>
      <c r="O3382" s="3" t="inlineStr">
        <is>
          <t>더행복</t>
        </is>
      </c>
      <c r="P3382" s="4" t="n">
        <v>1</v>
      </c>
      <c r="Q3382" s="4" t="n">
        <v>565</v>
      </c>
      <c r="R3382" s="3" t="inlineStr">
        <is>
          <t>지정되지않음</t>
        </is>
      </c>
      <c r="S3382" s="3" t="inlineStr">
        <is>
          <t>전</t>
        </is>
      </c>
      <c r="T3382" s="3" t="inlineStr">
        <is>
          <t>완경사</t>
        </is>
      </c>
      <c r="U3382" s="3" t="inlineStr">
        <is>
          <t>부정형</t>
        </is>
      </c>
      <c r="V3382" s="3" t="inlineStr">
        <is>
          <t>세로한면(불)</t>
        </is>
      </c>
    </row>
    <row r="3383">
      <c r="A3383" s="3" t="inlineStr">
        <is>
          <t>현도면 중삼리 357</t>
        </is>
      </c>
      <c r="B3383" s="3" t="inlineStr">
        <is>
          <t>계획관리지역</t>
        </is>
      </c>
      <c r="C3383" s="3" t="inlineStr">
        <is>
          <t>전</t>
        </is>
      </c>
      <c r="D3383" s="3" t="inlineStr">
        <is>
          <t>전</t>
        </is>
      </c>
      <c r="E3383" s="3" t="inlineStr">
        <is>
          <t>매매</t>
        </is>
      </c>
      <c r="F3383" s="4" t="n">
        <v>1140000</v>
      </c>
      <c r="G3383" s="4" t="n">
        <v>44628</v>
      </c>
      <c r="H3383" s="4" t="n">
        <v>13500</v>
      </c>
      <c r="I3383" s="5" t="n">
        <v>84.40000000000001</v>
      </c>
      <c r="J3383" s="5" t="n">
        <v>22.9</v>
      </c>
      <c r="K3383" s="3" t="inlineStr">
        <is>
          <t>nan</t>
        </is>
      </c>
      <c r="L3383" s="6">
        <f>HYPERLINK("https://fin.land.naver.com/articles/2655492876", "매물Link")</f>
        <v/>
      </c>
      <c r="M3383" s="6">
        <f>HYPERLINK("https://map.naver.com/p/search/현도면 중삼리 357", "지도Link")</f>
        <v/>
      </c>
      <c r="N3383" s="6">
        <f>HYPERLINK("http://www.eum.go.kr/web/ar/lu/luLandDet.jsp?pnu=4311232022103570000&amp;isNoScr=script&amp;mode=search", "토지이음")</f>
        <v/>
      </c>
      <c r="O3383" s="3" t="inlineStr">
        <is>
          <t>대전토지로무소</t>
        </is>
      </c>
      <c r="P3383" s="4" t="n">
        <v>1</v>
      </c>
      <c r="Q3383" s="4" t="n">
        <v>605</v>
      </c>
      <c r="R3383" s="3" t="inlineStr">
        <is>
          <t>지정되지않음</t>
        </is>
      </c>
      <c r="S3383" s="3" t="inlineStr">
        <is>
          <t>전</t>
        </is>
      </c>
      <c r="T3383" s="3" t="inlineStr">
        <is>
          <t>완경사</t>
        </is>
      </c>
      <c r="U3383" s="3" t="inlineStr">
        <is>
          <t>사다리형</t>
        </is>
      </c>
      <c r="V3383" s="3" t="inlineStr">
        <is>
          <t>맹지</t>
        </is>
      </c>
    </row>
    <row r="3384">
      <c r="A3384" s="3" t="inlineStr">
        <is>
          <t>현도면 중삼리 4-3</t>
        </is>
      </c>
      <c r="B3384" s="3" t="inlineStr">
        <is>
          <t>계획관리지역</t>
        </is>
      </c>
      <c r="C3384" s="3" t="inlineStr">
        <is>
          <t>전</t>
        </is>
      </c>
      <c r="D3384" s="3" t="inlineStr">
        <is>
          <t>전</t>
        </is>
      </c>
      <c r="E3384" s="3" t="inlineStr">
        <is>
          <t>매매</t>
        </is>
      </c>
      <c r="F3384" s="4" t="n">
        <v>45000</v>
      </c>
      <c r="G3384" s="4" t="n">
        <v>1775</v>
      </c>
      <c r="H3384" s="4" t="n">
        <v>537</v>
      </c>
      <c r="I3384" s="5" t="n">
        <v>83.8</v>
      </c>
      <c r="J3384" s="5" t="n">
        <v>26.3</v>
      </c>
      <c r="K3384" s="3" t="inlineStr">
        <is>
          <t>진출입 용이, 공장 지대로 민원발생 없음, 공장 및 창고 용지로 추천</t>
        </is>
      </c>
      <c r="L3384" s="6">
        <f>HYPERLINK("https://fin.land.naver.com/articles/2651477083", "매물Link")</f>
        <v/>
      </c>
      <c r="M3384" s="6">
        <f>HYPERLINK("https://map.naver.com/p/search/현도면 중삼리 4-3", "지도Link")</f>
        <v/>
      </c>
      <c r="N3384" s="6">
        <f>HYPERLINK("http://www.eum.go.kr/web/ar/lu/luLandDet.jsp?pnu=4311232022100040003&amp;isNoScr=script&amp;mode=search", "토지이음")</f>
        <v/>
      </c>
      <c r="O3384" s="3" t="inlineStr">
        <is>
          <t>제이</t>
        </is>
      </c>
      <c r="P3384" s="4" t="n">
        <v>1</v>
      </c>
      <c r="Q3384" s="4" t="n">
        <v>1775</v>
      </c>
      <c r="R3384" s="3" t="inlineStr">
        <is>
          <t>지정되지않음</t>
        </is>
      </c>
      <c r="S3384" s="3" t="inlineStr">
        <is>
          <t>전</t>
        </is>
      </c>
      <c r="T3384" s="3" t="inlineStr">
        <is>
          <t>완경사</t>
        </is>
      </c>
      <c r="U3384" s="3" t="inlineStr">
        <is>
          <t>부정형</t>
        </is>
      </c>
      <c r="V3384" s="3" t="inlineStr">
        <is>
          <t>세로한면(가)</t>
        </is>
      </c>
    </row>
    <row r="3385">
      <c r="A3385" s="3" t="inlineStr">
        <is>
          <t>현도면 중삼리 산20-33</t>
        </is>
      </c>
      <c r="B3385" s="3" t="inlineStr">
        <is>
          <t>계획관리지역</t>
        </is>
      </c>
      <c r="C3385" s="3" t="inlineStr">
        <is>
          <t>임야</t>
        </is>
      </c>
      <c r="D3385" s="3" t="inlineStr">
        <is>
          <t>임야</t>
        </is>
      </c>
      <c r="E3385" s="3" t="inlineStr">
        <is>
          <t>매매</t>
        </is>
      </c>
      <c r="F3385" s="4" t="n">
        <v>387000</v>
      </c>
      <c r="G3385" s="4" t="n">
        <v>12790</v>
      </c>
      <c r="H3385" s="4" t="n">
        <v>3869</v>
      </c>
      <c r="I3385" s="5" t="n">
        <v>100</v>
      </c>
      <c r="J3385" s="5" t="n">
        <v>5.8</v>
      </c>
      <c r="K3385" s="3" t="inlineStr">
        <is>
          <t>8M도로접 공장허가득 남청주ic 5분거리</t>
        </is>
      </c>
      <c r="L3385" s="6">
        <f>HYPERLINK("https://fin.land.naver.com/articles/2653108400", "매물Link")</f>
        <v/>
      </c>
      <c r="M3385" s="6">
        <f>HYPERLINK("https://map.naver.com/p/search/현도면 중삼리 산20-33", "지도Link")</f>
        <v/>
      </c>
      <c r="N3385" s="6">
        <f>HYPERLINK("http://www.eum.go.kr/web/ar/lu/luLandDet.jsp?pnu=4311232022200200033&amp;isNoScr=script&amp;mode=search", "토지이음")</f>
        <v/>
      </c>
      <c r="O3385" s="3" t="inlineStr">
        <is>
          <t>플러스태양</t>
        </is>
      </c>
      <c r="P3385" s="4" t="n">
        <v>1</v>
      </c>
      <c r="Q3385" s="4" t="n">
        <v>8838</v>
      </c>
      <c r="R3385" s="3" t="inlineStr">
        <is>
          <t>지정되지않음</t>
        </is>
      </c>
      <c r="S3385" s="3" t="inlineStr">
        <is>
          <t>자연림</t>
        </is>
      </c>
      <c r="T3385" s="3" t="inlineStr">
        <is>
          <t>완경사</t>
        </is>
      </c>
      <c r="U3385" s="3" t="inlineStr">
        <is>
          <t>부정형</t>
        </is>
      </c>
      <c r="V3385" s="3" t="inlineStr">
        <is>
          <t>맹지</t>
        </is>
      </c>
    </row>
    <row r="3386">
      <c r="A3386" s="3" t="inlineStr">
        <is>
          <t>현도면 중삼리 산20-33</t>
        </is>
      </c>
      <c r="B3386" s="3" t="inlineStr">
        <is>
          <t>계획관리지역</t>
        </is>
      </c>
      <c r="C3386" s="3" t="inlineStr">
        <is>
          <t>임야</t>
        </is>
      </c>
      <c r="D3386" s="3" t="inlineStr">
        <is>
          <t>전</t>
        </is>
      </c>
      <c r="E3386" s="3" t="inlineStr">
        <is>
          <t>매매</t>
        </is>
      </c>
      <c r="F3386" s="4" t="n">
        <v>387000</v>
      </c>
      <c r="G3386" s="4" t="n">
        <v>12188</v>
      </c>
      <c r="H3386" s="4" t="n">
        <v>3687</v>
      </c>
      <c r="I3386" s="5" t="n">
        <v>105</v>
      </c>
      <c r="J3386" s="5" t="n">
        <v>5.8</v>
      </c>
      <c r="K3386" s="3" t="inlineStr">
        <is>
          <t>공장부지.2차선도로접</t>
        </is>
      </c>
      <c r="L3386" s="6">
        <f>HYPERLINK("https://fin.land.naver.com/articles/2654974376", "매물Link")</f>
        <v/>
      </c>
      <c r="M3386" s="6">
        <f>HYPERLINK("https://map.naver.com/p/search/현도면 중삼리 산20-33", "지도Link")</f>
        <v/>
      </c>
      <c r="N3386" s="6">
        <f>HYPERLINK("http://www.eum.go.kr/web/ar/lu/luLandDet.jsp?pnu=4311232022200200033&amp;isNoScr=script&amp;mode=search", "토지이음")</f>
        <v/>
      </c>
      <c r="O3386" s="3" t="inlineStr">
        <is>
          <t>세종로또</t>
        </is>
      </c>
      <c r="P3386" s="4" t="n">
        <v>1</v>
      </c>
      <c r="Q3386" s="4" t="n">
        <v>8838</v>
      </c>
      <c r="R3386" s="3" t="inlineStr">
        <is>
          <t>지정되지않음</t>
        </is>
      </c>
      <c r="S3386" s="3" t="inlineStr">
        <is>
          <t>자연림</t>
        </is>
      </c>
      <c r="T3386" s="3" t="inlineStr">
        <is>
          <t>완경사</t>
        </is>
      </c>
      <c r="U3386" s="3" t="inlineStr">
        <is>
          <t>부정형</t>
        </is>
      </c>
      <c r="V3386" s="3" t="inlineStr">
        <is>
          <t>맹지</t>
        </is>
      </c>
    </row>
    <row r="3387">
      <c r="A3387" s="3" t="inlineStr">
        <is>
          <t>현도면 중삼리 산6</t>
        </is>
      </c>
      <c r="B3387" s="3" t="inlineStr">
        <is>
          <t>계획관리지역</t>
        </is>
      </c>
      <c r="C3387" s="3" t="inlineStr">
        <is>
          <t>임야</t>
        </is>
      </c>
      <c r="D3387" s="3" t="inlineStr">
        <is>
          <t>대</t>
        </is>
      </c>
      <c r="E3387" s="3" t="inlineStr">
        <is>
          <t>매매</t>
        </is>
      </c>
      <c r="F3387" s="4" t="n">
        <v>250000</v>
      </c>
      <c r="G3387" s="4" t="n">
        <v>7954</v>
      </c>
      <c r="H3387" s="4" t="n">
        <v>2406</v>
      </c>
      <c r="I3387" s="5" t="n">
        <v>103.9</v>
      </c>
      <c r="J3387" s="5" t="n">
        <v>6.4</v>
      </c>
      <c r="K3387" s="3" t="inlineStr">
        <is>
          <t>남청주IC와 가까워 대형차 진출입이 편리한곳, 현도산업단지 인근에위치</t>
        </is>
      </c>
      <c r="L3387" s="6">
        <f>HYPERLINK("https://fin.land.naver.com/articles/2654296609", "매물Link")</f>
        <v/>
      </c>
      <c r="M3387" s="6">
        <f>HYPERLINK("https://map.naver.com/p/search/현도면 중삼리 산6", "지도Link")</f>
        <v/>
      </c>
      <c r="N3387" s="6">
        <f>HYPERLINK("http://www.eum.go.kr/web/ar/lu/luLandDet.jsp?pnu=4311232022200060000&amp;isNoScr=script&amp;mode=search", "토지이음")</f>
        <v/>
      </c>
      <c r="O3387" s="3" t="inlineStr">
        <is>
          <t>(주)미르</t>
        </is>
      </c>
      <c r="P3387" s="4" t="n">
        <v>2</v>
      </c>
      <c r="Q3387" s="4" t="n">
        <v>6149</v>
      </c>
      <c r="R3387" s="3" t="inlineStr">
        <is>
          <t>지정되지않음</t>
        </is>
      </c>
      <c r="S3387" s="3" t="inlineStr">
        <is>
          <t>자연림</t>
        </is>
      </c>
      <c r="T3387" s="3" t="inlineStr">
        <is>
          <t>완경사</t>
        </is>
      </c>
      <c r="U3387" s="3" t="inlineStr">
        <is>
          <t>부정형</t>
        </is>
      </c>
      <c r="V3387" s="3" t="inlineStr">
        <is>
          <t>세로한면(가)</t>
        </is>
      </c>
    </row>
    <row r="3388">
      <c r="A3388" s="3" t="inlineStr">
        <is>
          <t>현도면 중삼리 산7-1</t>
        </is>
      </c>
      <c r="B3388" s="3" t="inlineStr">
        <is>
          <t>계획관리지역</t>
        </is>
      </c>
      <c r="C3388" s="3" t="inlineStr">
        <is>
          <t>임야</t>
        </is>
      </c>
      <c r="D3388" s="3" t="inlineStr">
        <is>
          <t>임야</t>
        </is>
      </c>
      <c r="E3388" s="3" t="inlineStr">
        <is>
          <t>매매</t>
        </is>
      </c>
      <c r="F3388" s="4" t="n">
        <v>1500000</v>
      </c>
      <c r="G3388" s="4" t="n">
        <v>39570</v>
      </c>
      <c r="H3388" s="4" t="n">
        <v>11970</v>
      </c>
      <c r="I3388" s="5" t="n">
        <v>125.3</v>
      </c>
      <c r="J3388" s="5" t="n">
        <v>6.4</v>
      </c>
      <c r="K3388" s="3" t="inlineStr">
        <is>
          <t>남청주ic 6분거리 물류창고허가득한 토지 매매</t>
        </is>
      </c>
      <c r="L3388" s="6">
        <f>HYPERLINK("https://fin.land.naver.com/articles/2654178584", "매물Link")</f>
        <v/>
      </c>
      <c r="M3388" s="6">
        <f>HYPERLINK("https://map.naver.com/p/search/현도면 중삼리 산7-1", "지도Link")</f>
        <v/>
      </c>
      <c r="N3388" s="6">
        <f>HYPERLINK("http://www.eum.go.kr/web/ar/lu/luLandDet.jsp?pnu=4311232022200070001&amp;isNoScr=script&amp;mode=search", "토지이음")</f>
        <v/>
      </c>
      <c r="O3388" s="3" t="inlineStr">
        <is>
          <t>더원</t>
        </is>
      </c>
      <c r="P3388" s="4" t="n">
        <v>1</v>
      </c>
      <c r="Q3388" s="4" t="n">
        <v>34141</v>
      </c>
      <c r="R3388" s="3" t="inlineStr">
        <is>
          <t>지정되지않음</t>
        </is>
      </c>
      <c r="S3388" s="3" t="inlineStr">
        <is>
          <t>자연림</t>
        </is>
      </c>
      <c r="T3388" s="3" t="inlineStr">
        <is>
          <t>완경사</t>
        </is>
      </c>
      <c r="U3388" s="3" t="inlineStr">
        <is>
          <t>부정형</t>
        </is>
      </c>
      <c r="V3388" s="3" t="inlineStr">
        <is>
          <t>세로한면(가)</t>
        </is>
      </c>
    </row>
    <row r="3389">
      <c r="A3389" s="3" t="inlineStr">
        <is>
          <t>현도면 중삼리 산7-1</t>
        </is>
      </c>
      <c r="B3389" s="3" t="inlineStr">
        <is>
          <t>계획관리지역</t>
        </is>
      </c>
      <c r="C3389" s="3" t="inlineStr">
        <is>
          <t>임야</t>
        </is>
      </c>
      <c r="D3389" s="3" t="inlineStr">
        <is>
          <t>임야</t>
        </is>
      </c>
      <c r="E3389" s="3" t="inlineStr">
        <is>
          <t>매매</t>
        </is>
      </c>
      <c r="F3389" s="4" t="n">
        <v>1500000</v>
      </c>
      <c r="G3389" s="4" t="n">
        <v>34141</v>
      </c>
      <c r="H3389" s="4" t="n">
        <v>10328</v>
      </c>
      <c r="I3389" s="5" t="n">
        <v>145.2</v>
      </c>
      <c r="J3389" s="5" t="n">
        <v>6.4</v>
      </c>
      <c r="K3389" s="3" t="inlineStr">
        <is>
          <t>물류창고부지 허가득</t>
        </is>
      </c>
      <c r="L3389" s="6">
        <f>HYPERLINK("https://fin.land.naver.com/articles/2651895185", "매물Link")</f>
        <v/>
      </c>
      <c r="M3389" s="6">
        <f>HYPERLINK("https://map.naver.com/p/search/현도면 중삼리 산7-1", "지도Link")</f>
        <v/>
      </c>
      <c r="N3389" s="6">
        <f>HYPERLINK("http://www.eum.go.kr/web/ar/lu/luLandDet.jsp?pnu=4311232022200070001&amp;isNoScr=script&amp;mode=search", "토지이음")</f>
        <v/>
      </c>
      <c r="O3389" s="3" t="inlineStr">
        <is>
          <t>케이투(k2)</t>
        </is>
      </c>
      <c r="P3389" s="4" t="n">
        <v>1</v>
      </c>
      <c r="Q3389" s="4" t="n">
        <v>34141</v>
      </c>
      <c r="R3389" s="3" t="inlineStr">
        <is>
          <t>지정되지않음</t>
        </is>
      </c>
      <c r="S3389" s="3" t="inlineStr">
        <is>
          <t>자연림</t>
        </is>
      </c>
      <c r="T3389" s="3" t="inlineStr">
        <is>
          <t>완경사</t>
        </is>
      </c>
      <c r="U3389" s="3" t="inlineStr">
        <is>
          <t>부정형</t>
        </is>
      </c>
      <c r="V3389" s="3" t="inlineStr">
        <is>
          <t>세로한면(가)</t>
        </is>
      </c>
    </row>
    <row r="3390">
      <c r="A3390" s="3" t="inlineStr">
        <is>
          <t>현도면 중삼리 산7-2</t>
        </is>
      </c>
      <c r="B3390" s="3" t="inlineStr">
        <is>
          <t>계획관리지역</t>
        </is>
      </c>
      <c r="C3390" s="3" t="inlineStr">
        <is>
          <t>임야</t>
        </is>
      </c>
      <c r="D3390" s="3" t="inlineStr">
        <is>
          <t>임야</t>
        </is>
      </c>
      <c r="E3390" s="3" t="inlineStr">
        <is>
          <t>매매</t>
        </is>
      </c>
      <c r="F3390" s="4" t="n">
        <v>1500000</v>
      </c>
      <c r="G3390" s="4" t="n">
        <v>39570</v>
      </c>
      <c r="H3390" s="4" t="n">
        <v>11970</v>
      </c>
      <c r="I3390" s="5" t="n">
        <v>125.3</v>
      </c>
      <c r="J3390" s="5" t="n">
        <v>4.9</v>
      </c>
      <c r="K3390" s="3" t="inlineStr">
        <is>
          <t>남청주IC 5분거리, 물류창고로 허가득한 토지 매매</t>
        </is>
      </c>
      <c r="L3390" s="6">
        <f>HYPERLINK("https://fin.land.naver.com/articles/2652790912", "매물Link")</f>
        <v/>
      </c>
      <c r="M3390" s="6">
        <f>HYPERLINK("https://map.naver.com/p/search/현도면 중삼리 산7-2", "지도Link")</f>
        <v/>
      </c>
      <c r="N3390" s="6">
        <f>HYPERLINK("http://www.eum.go.kr/web/ar/lu/luLandDet.jsp?pnu=4311232022200070002&amp;isNoScr=script&amp;mode=search", "토지이음")</f>
        <v/>
      </c>
      <c r="O3390" s="3" t="inlineStr">
        <is>
          <t>금화랜드</t>
        </is>
      </c>
      <c r="P3390" s="4" t="n">
        <v>1</v>
      </c>
      <c r="Q3390" s="4" t="n">
        <v>298</v>
      </c>
      <c r="R3390" s="3" t="inlineStr">
        <is>
          <t>지정되지않음</t>
        </is>
      </c>
      <c r="S3390" s="3" t="inlineStr">
        <is>
          <t>자연림</t>
        </is>
      </c>
      <c r="T3390" s="3" t="inlineStr">
        <is>
          <t>급경사</t>
        </is>
      </c>
      <c r="U3390" s="3" t="inlineStr">
        <is>
          <t>부정형</t>
        </is>
      </c>
      <c r="V3390" s="3" t="inlineStr">
        <is>
          <t>맹지</t>
        </is>
      </c>
    </row>
    <row r="3391">
      <c r="A3391" s="3" t="inlineStr">
        <is>
          <t>현도면 중삼리 산8-15</t>
        </is>
      </c>
      <c r="B3391" s="3" t="inlineStr">
        <is>
          <t>계획관리지역</t>
        </is>
      </c>
      <c r="C3391" s="3" t="inlineStr">
        <is>
          <t>임야</t>
        </is>
      </c>
      <c r="D3391" s="3" t="inlineStr">
        <is>
          <t>임야</t>
        </is>
      </c>
      <c r="E3391" s="3" t="inlineStr">
        <is>
          <t>매매</t>
        </is>
      </c>
      <c r="F3391" s="4" t="n">
        <v>500000</v>
      </c>
      <c r="G3391" s="4" t="n">
        <v>19443</v>
      </c>
      <c r="H3391" s="4" t="n">
        <v>5882</v>
      </c>
      <c r="I3391" s="5" t="n">
        <v>85</v>
      </c>
      <c r="J3391" s="5" t="n">
        <v>4.6</v>
      </c>
      <c r="K3391" s="3" t="inlineStr">
        <is>
          <t>토목공사완료된 공장부지</t>
        </is>
      </c>
      <c r="L3391" s="6">
        <f>HYPERLINK("https://fin.land.naver.com/articles/2655173810", "매물Link")</f>
        <v/>
      </c>
      <c r="M3391" s="6">
        <f>HYPERLINK("https://map.naver.com/p/search/현도면 중삼리 산8-15", "지도Link")</f>
        <v/>
      </c>
      <c r="N3391" s="6">
        <f>HYPERLINK("http://www.eum.go.kr/web/ar/lu/luLandDet.jsp?pnu=4311232022200080015&amp;isNoScr=script&amp;mode=search", "토지이음")</f>
        <v/>
      </c>
      <c r="O3391" s="3" t="inlineStr">
        <is>
          <t>대전명품</t>
        </is>
      </c>
      <c r="P3391" s="4" t="n">
        <v>1</v>
      </c>
      <c r="Q3391" s="4" t="n">
        <v>12831</v>
      </c>
      <c r="R3391" s="3" t="inlineStr">
        <is>
          <t>지정되지않음</t>
        </is>
      </c>
      <c r="S3391" s="3" t="inlineStr">
        <is>
          <t>자연림</t>
        </is>
      </c>
      <c r="T3391" s="3" t="inlineStr">
        <is>
          <t>급경사</t>
        </is>
      </c>
      <c r="U3391" s="3" t="inlineStr">
        <is>
          <t>사다리형</t>
        </is>
      </c>
      <c r="V3391" s="3" t="inlineStr">
        <is>
          <t>맹지</t>
        </is>
      </c>
    </row>
    <row r="3392">
      <c r="A3392" s="3" t="inlineStr">
        <is>
          <t>현도면 중삼리 산8-15</t>
        </is>
      </c>
      <c r="B3392" s="3" t="inlineStr">
        <is>
          <t>계획관리지역</t>
        </is>
      </c>
      <c r="C3392" s="3" t="inlineStr">
        <is>
          <t>임야</t>
        </is>
      </c>
      <c r="D3392" s="3" t="inlineStr">
        <is>
          <t>임야</t>
        </is>
      </c>
      <c r="E3392" s="3" t="inlineStr">
        <is>
          <t>매매</t>
        </is>
      </c>
      <c r="F3392" s="4" t="n">
        <v>500000</v>
      </c>
      <c r="G3392" s="4" t="n">
        <v>19443</v>
      </c>
      <c r="H3392" s="4" t="n">
        <v>5882</v>
      </c>
      <c r="I3392" s="5" t="n">
        <v>85</v>
      </c>
      <c r="J3392" s="5" t="n">
        <v>4.6</v>
      </c>
      <c r="K3392" s="3" t="inlineStr">
        <is>
          <t>활용도 좋은 계획관리지역으로 토목 공사 완료된 넓은 토지</t>
        </is>
      </c>
      <c r="L3392" s="6">
        <f>HYPERLINK("https://fin.land.naver.com/articles/2654968921", "매물Link")</f>
        <v/>
      </c>
      <c r="M3392" s="6">
        <f>HYPERLINK("https://map.naver.com/p/search/현도면 중삼리 산8-15", "지도Link")</f>
        <v/>
      </c>
      <c r="N3392" s="6">
        <f>HYPERLINK("http://www.eum.go.kr/web/ar/lu/luLandDet.jsp?pnu=4311232022200080015&amp;isNoScr=script&amp;mode=search", "토지이음")</f>
        <v/>
      </c>
      <c r="O3392" s="3" t="inlineStr">
        <is>
          <t>(주)미르</t>
        </is>
      </c>
      <c r="P3392" s="4" t="n">
        <v>1</v>
      </c>
      <c r="Q3392" s="4" t="n">
        <v>12831</v>
      </c>
      <c r="R3392" s="3" t="inlineStr">
        <is>
          <t>지정되지않음</t>
        </is>
      </c>
      <c r="S3392" s="3" t="inlineStr">
        <is>
          <t>자연림</t>
        </is>
      </c>
      <c r="T3392" s="3" t="inlineStr">
        <is>
          <t>급경사</t>
        </is>
      </c>
      <c r="U3392" s="3" t="inlineStr">
        <is>
          <t>사다리형</t>
        </is>
      </c>
      <c r="V3392" s="3" t="inlineStr">
        <is>
          <t>맹지</t>
        </is>
      </c>
    </row>
    <row r="3393">
      <c r="A3393" s="3" t="inlineStr">
        <is>
          <t>현도면 중삼리 산8-16</t>
        </is>
      </c>
      <c r="B3393" s="3" t="inlineStr">
        <is>
          <t>계획관리지역</t>
        </is>
      </c>
      <c r="C3393" s="3" t="inlineStr">
        <is>
          <t>임야</t>
        </is>
      </c>
      <c r="D3393" s="3" t="inlineStr">
        <is>
          <t>임야</t>
        </is>
      </c>
      <c r="E3393" s="3" t="inlineStr">
        <is>
          <t>매매</t>
        </is>
      </c>
      <c r="F3393" s="4" t="n">
        <v>230000</v>
      </c>
      <c r="G3393" s="4" t="n">
        <v>9904</v>
      </c>
      <c r="H3393" s="4" t="n">
        <v>2996</v>
      </c>
      <c r="I3393" s="5" t="n">
        <v>76.8</v>
      </c>
      <c r="J3393" s="5" t="n">
        <v>4.6</v>
      </c>
      <c r="K3393" s="3" t="inlineStr">
        <is>
          <t>활용도 좋은 계획관리지역으로 토목 공사 완료된 넓은 토지</t>
        </is>
      </c>
      <c r="L3393" s="6">
        <f>HYPERLINK("https://fin.land.naver.com/articles/2654780098", "매물Link")</f>
        <v/>
      </c>
      <c r="M3393" s="6">
        <f>HYPERLINK("https://map.naver.com/p/search/현도면 중삼리 산8-16", "지도Link")</f>
        <v/>
      </c>
      <c r="N3393" s="6">
        <f>HYPERLINK("http://www.eum.go.kr/web/ar/lu/luLandDet.jsp?pnu=4311232022200080016&amp;isNoScr=script&amp;mode=search", "토지이음")</f>
        <v/>
      </c>
      <c r="O3393" s="3" t="inlineStr">
        <is>
          <t>(주)미르</t>
        </is>
      </c>
      <c r="P3393" s="4" t="n">
        <v>1</v>
      </c>
      <c r="Q3393" s="4" t="n">
        <v>8470</v>
      </c>
      <c r="R3393" s="3" t="inlineStr">
        <is>
          <t>지정되지않음</t>
        </is>
      </c>
      <c r="S3393" s="3" t="inlineStr">
        <is>
          <t>자연림</t>
        </is>
      </c>
      <c r="T3393" s="3" t="inlineStr">
        <is>
          <t>급경사</t>
        </is>
      </c>
      <c r="U3393" s="3" t="inlineStr">
        <is>
          <t>부정형</t>
        </is>
      </c>
      <c r="V3393" s="3" t="inlineStr">
        <is>
          <t>맹지</t>
        </is>
      </c>
    </row>
    <row r="3394">
      <c r="A3394" s="3" t="inlineStr">
        <is>
          <t>현도면 중척리 398-1</t>
        </is>
      </c>
      <c r="B3394" s="3" t="inlineStr">
        <is>
          <t>개발제한구역</t>
        </is>
      </c>
      <c r="C3394" s="3" t="inlineStr">
        <is>
          <t>전</t>
        </is>
      </c>
      <c r="D3394" s="3" t="inlineStr">
        <is>
          <t>전</t>
        </is>
      </c>
      <c r="E3394" s="3" t="inlineStr">
        <is>
          <t>매매</t>
        </is>
      </c>
      <c r="F3394" s="4" t="n">
        <v>25000</v>
      </c>
      <c r="G3394" s="4" t="n">
        <v>1986</v>
      </c>
      <c r="H3394" s="4" t="n">
        <v>601</v>
      </c>
      <c r="I3394" s="5" t="n">
        <v>41.6</v>
      </c>
      <c r="J3394" s="5" t="n">
        <v>22.3</v>
      </c>
      <c r="K3394" s="3" t="inlineStr">
        <is>
          <t>중척리 토지매매, 도로옆, 버스 다니는 길, 네모난 모양</t>
        </is>
      </c>
      <c r="L3394" s="6">
        <f>HYPERLINK("https://fin.land.naver.com/articles/2654178590", "매물Link")</f>
        <v/>
      </c>
      <c r="M3394" s="6">
        <f>HYPERLINK("https://map.naver.com/p/search/현도면 중척리 398-1", "지도Link")</f>
        <v/>
      </c>
      <c r="N3394" s="6">
        <f>HYPERLINK("http://www.eum.go.kr/web/ar/lu/luLandDet.jsp?pnu=4311232028103980001&amp;isNoScr=script&amp;mode=search", "토지이음")</f>
        <v/>
      </c>
      <c r="O3394" s="3" t="inlineStr">
        <is>
          <t>복돼지</t>
        </is>
      </c>
      <c r="P3394" s="4" t="n">
        <v>1</v>
      </c>
      <c r="Q3394" s="4" t="n">
        <v>1986</v>
      </c>
      <c r="R3394" s="3" t="inlineStr">
        <is>
          <t>지정되지않음</t>
        </is>
      </c>
      <c r="S3394" s="3" t="inlineStr">
        <is>
          <t>전</t>
        </is>
      </c>
      <c r="T3394" s="3" t="inlineStr">
        <is>
          <t>평지</t>
        </is>
      </c>
      <c r="U3394" s="3" t="inlineStr">
        <is>
          <t>사다리형</t>
        </is>
      </c>
      <c r="V3394" s="3" t="inlineStr">
        <is>
          <t>세로한면(가)</t>
        </is>
      </c>
    </row>
    <row r="3395">
      <c r="A3395" s="3" t="inlineStr">
        <is>
          <t>현도면 중척리 398-1</t>
        </is>
      </c>
      <c r="B3395" s="3" t="inlineStr">
        <is>
          <t>개발제한구역</t>
        </is>
      </c>
      <c r="C3395" s="3" t="inlineStr">
        <is>
          <t>전</t>
        </is>
      </c>
      <c r="D3395" s="3" t="inlineStr">
        <is>
          <t>전</t>
        </is>
      </c>
      <c r="E3395" s="3" t="inlineStr">
        <is>
          <t>매매</t>
        </is>
      </c>
      <c r="F3395" s="4" t="n">
        <v>25000</v>
      </c>
      <c r="G3395" s="4" t="n">
        <v>1986</v>
      </c>
      <c r="H3395" s="4" t="n">
        <v>601</v>
      </c>
      <c r="I3395" s="5" t="n">
        <v>41.6</v>
      </c>
      <c r="J3395" s="5" t="n">
        <v>22.3</v>
      </c>
      <c r="K3395" s="3" t="inlineStr">
        <is>
          <t>버스길에 접 , 토지모양이 네모 반듯함, 투자가치가 있는 좋은 토지</t>
        </is>
      </c>
      <c r="L3395" s="6">
        <f>HYPERLINK("https://fin.land.naver.com/articles/2655488231", "매물Link")</f>
        <v/>
      </c>
      <c r="M3395" s="6">
        <f>HYPERLINK("https://map.naver.com/p/search/현도면 중척리 398-1", "지도Link")</f>
        <v/>
      </c>
      <c r="N3395" s="6">
        <f>HYPERLINK("http://www.eum.go.kr/web/ar/lu/luLandDet.jsp?pnu=4311232028103980001&amp;isNoScr=script&amp;mode=search", "토지이음")</f>
        <v/>
      </c>
      <c r="O3395" s="3" t="inlineStr">
        <is>
          <t>대전토지로무소</t>
        </is>
      </c>
      <c r="P3395" s="4" t="n">
        <v>1</v>
      </c>
      <c r="Q3395" s="4" t="n">
        <v>1986</v>
      </c>
      <c r="R3395" s="3" t="inlineStr">
        <is>
          <t>지정되지않음</t>
        </is>
      </c>
      <c r="S3395" s="3" t="inlineStr">
        <is>
          <t>전</t>
        </is>
      </c>
      <c r="T3395" s="3" t="inlineStr">
        <is>
          <t>평지</t>
        </is>
      </c>
      <c r="U3395" s="3" t="inlineStr">
        <is>
          <t>사다리형</t>
        </is>
      </c>
      <c r="V3395" s="3" t="inlineStr">
        <is>
          <t>세로한면(가)</t>
        </is>
      </c>
    </row>
    <row r="3396">
      <c r="A3396" s="3" t="inlineStr">
        <is>
          <t>현도면 중척리 462-44</t>
        </is>
      </c>
      <c r="B3396" s="3" t="inlineStr">
        <is>
          <t>개발제한구역</t>
        </is>
      </c>
      <c r="C3396" s="3" t="inlineStr">
        <is>
          <t>전</t>
        </is>
      </c>
      <c r="D3396" s="3" t="inlineStr">
        <is>
          <t>전</t>
        </is>
      </c>
      <c r="E3396" s="3" t="inlineStr">
        <is>
          <t>매매</t>
        </is>
      </c>
      <c r="F3396" s="4" t="n">
        <v>22070</v>
      </c>
      <c r="G3396" s="4" t="n">
        <v>3647</v>
      </c>
      <c r="H3396" s="4" t="n">
        <v>1103</v>
      </c>
      <c r="I3396" s="5" t="n">
        <v>20</v>
      </c>
      <c r="J3396" s="5" t="n">
        <v>20.5</v>
      </c>
      <c r="K3396" s="3" t="inlineStr">
        <is>
          <t>금강 인근, 소도로 인접</t>
        </is>
      </c>
      <c r="L3396" s="6">
        <f>HYPERLINK("https://fin.land.naver.com/articles/2653662424", "매물Link")</f>
        <v/>
      </c>
      <c r="M3396" s="6">
        <f>HYPERLINK("https://map.naver.com/p/search/현도면 중척리 462-44", "지도Link")</f>
        <v/>
      </c>
      <c r="N3396" s="6">
        <f>HYPERLINK("http://www.eum.go.kr/web/ar/lu/luLandDet.jsp?pnu=4311232028104620044&amp;isNoScr=script&amp;mode=search", "토지이음")</f>
        <v/>
      </c>
      <c r="O3396" s="3" t="inlineStr">
        <is>
          <t>대지</t>
        </is>
      </c>
      <c r="P3396" s="4" t="n">
        <v>1</v>
      </c>
      <c r="Q3396" s="4" t="n">
        <v>3647</v>
      </c>
      <c r="R3396" s="3" t="inlineStr">
        <is>
          <t>지정되지않음</t>
        </is>
      </c>
      <c r="S3396" s="3" t="inlineStr">
        <is>
          <t>전</t>
        </is>
      </c>
      <c r="T3396" s="3" t="inlineStr">
        <is>
          <t>평지</t>
        </is>
      </c>
      <c r="U3396" s="3" t="inlineStr">
        <is>
          <t>사다리형</t>
        </is>
      </c>
      <c r="V3396" s="3" t="inlineStr">
        <is>
          <t>세로한면(가)</t>
        </is>
      </c>
    </row>
    <row r="3397">
      <c r="A3397" s="3" t="inlineStr">
        <is>
          <t>현도면 중척리 462-9</t>
        </is>
      </c>
      <c r="B3397" s="3" t="inlineStr">
        <is>
          <t>개발제한구역</t>
        </is>
      </c>
      <c r="C3397" s="3" t="inlineStr">
        <is>
          <t>전</t>
        </is>
      </c>
      <c r="D3397" s="3" t="inlineStr">
        <is>
          <t>전</t>
        </is>
      </c>
      <c r="E3397" s="3" t="inlineStr">
        <is>
          <t>매매</t>
        </is>
      </c>
      <c r="F3397" s="4" t="n">
        <v>24200</v>
      </c>
      <c r="G3397" s="4" t="n">
        <v>2000</v>
      </c>
      <c r="H3397" s="4" t="n">
        <v>605</v>
      </c>
      <c r="I3397" s="5" t="n">
        <v>40</v>
      </c>
      <c r="J3397" s="5" t="n">
        <v>20.5</v>
      </c>
      <c r="K3397" s="3" t="inlineStr">
        <is>
          <t>도로가, 직사각형 모양, 신탄진지역 차로 10분거리</t>
        </is>
      </c>
      <c r="L3397" s="6">
        <f>HYPERLINK("https://fin.land.naver.com/articles/2655015917", "매물Link")</f>
        <v/>
      </c>
      <c r="M3397" s="6">
        <f>HYPERLINK("https://map.naver.com/p/search/현도면 중척리 462-9", "지도Link")</f>
        <v/>
      </c>
      <c r="N3397" s="6">
        <f>HYPERLINK("http://www.eum.go.kr/web/ar/lu/luLandDet.jsp?pnu=4311232028104620009&amp;isNoScr=script&amp;mode=search", "토지이음")</f>
        <v/>
      </c>
      <c r="O3397" s="3" t="inlineStr">
        <is>
          <t>복돼지</t>
        </is>
      </c>
      <c r="P3397" s="4" t="n">
        <v>1</v>
      </c>
      <c r="Q3397" s="4" t="n">
        <v>2000</v>
      </c>
      <c r="R3397" s="3" t="inlineStr">
        <is>
          <t>지정되지않음</t>
        </is>
      </c>
      <c r="S3397" s="3" t="inlineStr">
        <is>
          <t>전</t>
        </is>
      </c>
      <c r="T3397" s="3" t="inlineStr">
        <is>
          <t>평지</t>
        </is>
      </c>
      <c r="U3397" s="3" t="inlineStr">
        <is>
          <t>세로장방</t>
        </is>
      </c>
      <c r="V3397" s="3" t="inlineStr">
        <is>
          <t>세로한면(가)</t>
        </is>
      </c>
    </row>
    <row r="3398">
      <c r="A3398" s="3" t="inlineStr">
        <is>
          <t>현도면 중척리 462-9</t>
        </is>
      </c>
      <c r="B3398" s="3" t="inlineStr">
        <is>
          <t>개발제한구역</t>
        </is>
      </c>
      <c r="C3398" s="3" t="inlineStr">
        <is>
          <t>전</t>
        </is>
      </c>
      <c r="D3398" s="3" t="inlineStr">
        <is>
          <t>전</t>
        </is>
      </c>
      <c r="E3398" s="3" t="inlineStr">
        <is>
          <t>매매</t>
        </is>
      </c>
      <c r="F3398" s="4" t="n">
        <v>21000</v>
      </c>
      <c r="G3398" s="4" t="n">
        <v>2000</v>
      </c>
      <c r="H3398" s="4" t="n">
        <v>605</v>
      </c>
      <c r="I3398" s="5" t="n">
        <v>34.7</v>
      </c>
      <c r="J3398" s="5" t="n">
        <v>20.5</v>
      </c>
      <c r="K3398" s="3" t="inlineStr">
        <is>
          <t>버스길에 접해 접근성 편리  투자 가치 있는 주말 농장  토지 매매</t>
        </is>
      </c>
      <c r="L3398" s="6">
        <f>HYPERLINK("https://fin.land.naver.com/articles/2654903350", "매물Link")</f>
        <v/>
      </c>
      <c r="M3398" s="6">
        <f>HYPERLINK("https://map.naver.com/p/search/현도면 중척리 462-9", "지도Link")</f>
        <v/>
      </c>
      <c r="N3398" s="6">
        <f>HYPERLINK("http://www.eum.go.kr/web/ar/lu/luLandDet.jsp?pnu=4311232028104620009&amp;isNoScr=script&amp;mode=search", "토지이음")</f>
        <v/>
      </c>
      <c r="O3398" s="3" t="inlineStr">
        <is>
          <t>대전토지로무소</t>
        </is>
      </c>
      <c r="P3398" s="4" t="n">
        <v>1</v>
      </c>
      <c r="Q3398" s="4" t="n">
        <v>2000</v>
      </c>
      <c r="R3398" s="3" t="inlineStr">
        <is>
          <t>지정되지않음</t>
        </is>
      </c>
      <c r="S3398" s="3" t="inlineStr">
        <is>
          <t>전</t>
        </is>
      </c>
      <c r="T3398" s="3" t="inlineStr">
        <is>
          <t>평지</t>
        </is>
      </c>
      <c r="U3398" s="3" t="inlineStr">
        <is>
          <t>세로장방</t>
        </is>
      </c>
      <c r="V3398" s="3" t="inlineStr">
        <is>
          <t>세로한면(가)</t>
        </is>
      </c>
    </row>
    <row r="3399">
      <c r="A3399" s="3" t="inlineStr">
        <is>
          <t>현도면 중척리 473-11</t>
        </is>
      </c>
      <c r="B3399" s="3" t="inlineStr">
        <is>
          <t>개발제한구역</t>
        </is>
      </c>
      <c r="C3399" s="3" t="inlineStr">
        <is>
          <t>임야</t>
        </is>
      </c>
      <c r="D3399" s="3" t="inlineStr">
        <is>
          <t>임야</t>
        </is>
      </c>
      <c r="E3399" s="3" t="inlineStr">
        <is>
          <t>매매</t>
        </is>
      </c>
      <c r="F3399" s="4" t="n">
        <v>13000</v>
      </c>
      <c r="G3399" s="4" t="n">
        <v>990</v>
      </c>
      <c r="H3399" s="4" t="n">
        <v>299</v>
      </c>
      <c r="I3399" s="5" t="n">
        <v>43.5</v>
      </c>
      <c r="J3399" s="5" t="n">
        <v>19.2</v>
      </c>
      <c r="K3399" s="3" t="inlineStr">
        <is>
          <t>주말농장,도로접, 평탄한 전</t>
        </is>
      </c>
      <c r="L3399" s="6">
        <f>HYPERLINK("https://fin.land.naver.com/articles/2654680343", "매물Link")</f>
        <v/>
      </c>
      <c r="M3399" s="6">
        <f>HYPERLINK("https://map.naver.com/p/search/현도면 중척리 473-11", "지도Link")</f>
        <v/>
      </c>
      <c r="N3399" s="6">
        <f>HYPERLINK("http://www.eum.go.kr/web/ar/lu/luLandDet.jsp?pnu=4311232028104730011&amp;isNoScr=script&amp;mode=search", "토지이음")</f>
        <v/>
      </c>
      <c r="O3399" s="3" t="inlineStr">
        <is>
          <t>우리동네</t>
        </is>
      </c>
      <c r="P3399" s="4" t="n">
        <v>1</v>
      </c>
      <c r="Q3399" s="4" t="n">
        <v>990</v>
      </c>
      <c r="R3399" s="3" t="inlineStr">
        <is>
          <t>지정되지않음</t>
        </is>
      </c>
      <c r="S3399" s="3" t="inlineStr">
        <is>
          <t>전</t>
        </is>
      </c>
      <c r="T3399" s="3" t="inlineStr">
        <is>
          <t>평지</t>
        </is>
      </c>
      <c r="U3399" s="3" t="inlineStr">
        <is>
          <t>세로장방</t>
        </is>
      </c>
      <c r="V3399" s="3" t="inlineStr">
        <is>
          <t>세로한면(가)</t>
        </is>
      </c>
    </row>
    <row r="3400">
      <c r="A3400" s="3" t="inlineStr">
        <is>
          <t>현도면 중척리 484-1</t>
        </is>
      </c>
      <c r="B3400" s="3" t="inlineStr">
        <is>
          <t>개발제한구역</t>
        </is>
      </c>
      <c r="C3400" s="3" t="inlineStr">
        <is>
          <t>답</t>
        </is>
      </c>
      <c r="D3400" s="3" t="inlineStr">
        <is>
          <t>답</t>
        </is>
      </c>
      <c r="E3400" s="3" t="inlineStr">
        <is>
          <t>매매</t>
        </is>
      </c>
      <c r="F3400" s="4" t="n">
        <v>26000</v>
      </c>
      <c r="G3400" s="4" t="n">
        <v>1653</v>
      </c>
      <c r="H3400" s="4" t="n">
        <v>500</v>
      </c>
      <c r="I3400" s="5" t="n">
        <v>52</v>
      </c>
      <c r="J3400" s="5" t="n">
        <v>20.1</v>
      </c>
      <c r="K3400" s="3" t="inlineStr">
        <is>
          <t>도로가 코너에 접한 토지, 비닐하우스 2동 설치됨</t>
        </is>
      </c>
      <c r="L3400" s="6">
        <f>HYPERLINK("https://fin.land.naver.com/articles/2655015888", "매물Link")</f>
        <v/>
      </c>
      <c r="M3400" s="6">
        <f>HYPERLINK("https://map.naver.com/p/search/현도면 중척리 484-1", "지도Link")</f>
        <v/>
      </c>
      <c r="N3400" s="6">
        <f>HYPERLINK("http://www.eum.go.kr/web/ar/lu/luLandDet.jsp?pnu=4311232028104840001&amp;isNoScr=script&amp;mode=search", "토지이음")</f>
        <v/>
      </c>
      <c r="O3400" s="3" t="inlineStr">
        <is>
          <t>복돼지</t>
        </is>
      </c>
      <c r="P3400" s="4" t="n">
        <v>1</v>
      </c>
      <c r="Q3400" s="4" t="n">
        <v>836</v>
      </c>
      <c r="R3400" s="3" t="inlineStr">
        <is>
          <t>지정되지않음</t>
        </is>
      </c>
      <c r="S3400" s="3" t="inlineStr">
        <is>
          <t>전</t>
        </is>
      </c>
      <c r="T3400" s="3" t="inlineStr">
        <is>
          <t>평지</t>
        </is>
      </c>
      <c r="U3400" s="3" t="inlineStr">
        <is>
          <t>부정형</t>
        </is>
      </c>
      <c r="V3400" s="3" t="inlineStr">
        <is>
          <t>세로각지(가)</t>
        </is>
      </c>
    </row>
    <row r="3401">
      <c r="A3401" s="3" t="inlineStr">
        <is>
          <t>현도면 중척리 484-1</t>
        </is>
      </c>
      <c r="B3401" s="3" t="inlineStr">
        <is>
          <t>개발제한구역</t>
        </is>
      </c>
      <c r="C3401" s="3" t="inlineStr">
        <is>
          <t>답</t>
        </is>
      </c>
      <c r="D3401" s="3" t="inlineStr">
        <is>
          <t>답</t>
        </is>
      </c>
      <c r="E3401" s="3" t="inlineStr">
        <is>
          <t>매매</t>
        </is>
      </c>
      <c r="F3401" s="4" t="n">
        <v>26000</v>
      </c>
      <c r="G3401" s="4" t="n">
        <v>1653</v>
      </c>
      <c r="H3401" s="4" t="n">
        <v>500</v>
      </c>
      <c r="I3401" s="5" t="n">
        <v>52</v>
      </c>
      <c r="J3401" s="5" t="n">
        <v>20.1</v>
      </c>
      <c r="K3401" s="3" t="inlineStr">
        <is>
          <t>접근성 좋고 관정 전기 하우스 있는 주말 농장 용지, 자연 녹지 매매</t>
        </is>
      </c>
      <c r="L3401" s="6">
        <f>HYPERLINK("https://fin.land.naver.com/articles/2654906573", "매물Link")</f>
        <v/>
      </c>
      <c r="M3401" s="6">
        <f>HYPERLINK("https://map.naver.com/p/search/현도면 중척리 484-1", "지도Link")</f>
        <v/>
      </c>
      <c r="N3401" s="6">
        <f>HYPERLINK("http://www.eum.go.kr/web/ar/lu/luLandDet.jsp?pnu=4311232028104840001&amp;isNoScr=script&amp;mode=search", "토지이음")</f>
        <v/>
      </c>
      <c r="O3401" s="3" t="inlineStr">
        <is>
          <t>대전토지로무소</t>
        </is>
      </c>
      <c r="P3401" s="4" t="n">
        <v>1</v>
      </c>
      <c r="Q3401" s="4" t="n">
        <v>836</v>
      </c>
      <c r="R3401" s="3" t="inlineStr">
        <is>
          <t>지정되지않음</t>
        </is>
      </c>
      <c r="S3401" s="3" t="inlineStr">
        <is>
          <t>전</t>
        </is>
      </c>
      <c r="T3401" s="3" t="inlineStr">
        <is>
          <t>평지</t>
        </is>
      </c>
      <c r="U3401" s="3" t="inlineStr">
        <is>
          <t>부정형</t>
        </is>
      </c>
      <c r="V3401" s="3" t="inlineStr">
        <is>
          <t>세로각지(가)</t>
        </is>
      </c>
    </row>
    <row r="3402">
      <c r="A3402" s="3" t="inlineStr">
        <is>
          <t>현도면 하석리 124</t>
        </is>
      </c>
      <c r="B3402" s="3" t="inlineStr">
        <is>
          <t>개발제한구역</t>
        </is>
      </c>
      <c r="C3402" s="3" t="inlineStr">
        <is>
          <t>전</t>
        </is>
      </c>
      <c r="D3402" s="3" t="inlineStr">
        <is>
          <t>전</t>
        </is>
      </c>
      <c r="E3402" s="3" t="inlineStr">
        <is>
          <t>매매</t>
        </is>
      </c>
      <c r="F3402" s="4" t="n">
        <v>7900</v>
      </c>
      <c r="G3402" s="4" t="n">
        <v>2612</v>
      </c>
      <c r="H3402" s="4" t="n">
        <v>790</v>
      </c>
      <c r="I3402" s="5" t="n">
        <v>10</v>
      </c>
      <c r="J3402" s="5" t="n">
        <v>4.9</v>
      </c>
      <c r="K3402" s="3" t="inlineStr">
        <is>
          <t>급 매매 포장도로 접한 아주 저렴한 주말 농장 용지 매매, 농막설치 가능</t>
        </is>
      </c>
      <c r="L3402" s="6">
        <f>HYPERLINK("https://fin.land.naver.com/articles/2652882582", "매물Link")</f>
        <v/>
      </c>
      <c r="M3402" s="6">
        <f>HYPERLINK("https://map.naver.com/p/search/현도면 하석리 124", "지도Link")</f>
        <v/>
      </c>
      <c r="N3402" s="6">
        <f>HYPERLINK("http://www.eum.go.kr/web/ar/lu/luLandDet.jsp?pnu=4311232029101240000&amp;isNoScr=script&amp;mode=search", "토지이음")</f>
        <v/>
      </c>
      <c r="O3402" s="3" t="inlineStr">
        <is>
          <t>대전토지로무소</t>
        </is>
      </c>
      <c r="P3402" s="4" t="n">
        <v>2</v>
      </c>
      <c r="Q3402" s="4" t="n">
        <v>2612</v>
      </c>
      <c r="R3402" s="3" t="inlineStr">
        <is>
          <t>지정되지않음</t>
        </is>
      </c>
      <c r="S3402" s="3" t="inlineStr">
        <is>
          <t>전</t>
        </is>
      </c>
      <c r="T3402" s="3" t="inlineStr">
        <is>
          <t>완경사</t>
        </is>
      </c>
      <c r="U3402" s="3" t="inlineStr">
        <is>
          <t>사다리형</t>
        </is>
      </c>
      <c r="V3402" s="3" t="inlineStr">
        <is>
          <t>세로한면(가)</t>
        </is>
      </c>
    </row>
    <row r="3403">
      <c r="A3403" s="3" t="inlineStr">
        <is>
          <t>현도면 하석리 21-4</t>
        </is>
      </c>
      <c r="B3403" s="3" t="inlineStr">
        <is>
          <t>개발제한구역</t>
        </is>
      </c>
      <c r="C3403" s="3" t="inlineStr">
        <is>
          <t>대</t>
        </is>
      </c>
      <c r="D3403" s="3" t="inlineStr">
        <is>
          <t>대</t>
        </is>
      </c>
      <c r="E3403" s="3" t="inlineStr">
        <is>
          <t>매매</t>
        </is>
      </c>
      <c r="F3403" s="4" t="n">
        <v>140000</v>
      </c>
      <c r="G3403" s="4" t="n">
        <v>1679</v>
      </c>
      <c r="H3403" s="4" t="n">
        <v>508</v>
      </c>
      <c r="I3403" s="5" t="n">
        <v>275.6</v>
      </c>
      <c r="J3403" s="5" t="n">
        <v>101</v>
      </c>
      <c r="K3403" s="3" t="inlineStr">
        <is>
          <t>아주귀한 대청댐 인접, 일반음식점 대형카페, 가든 , 아주저렴한 매물</t>
        </is>
      </c>
      <c r="L3403" s="6">
        <f>HYPERLINK("https://fin.land.naver.com/articles/2654927609", "매물Link")</f>
        <v/>
      </c>
      <c r="M3403" s="6">
        <f>HYPERLINK("https://map.naver.com/p/search/현도면 하석리 21-4", "지도Link")</f>
        <v/>
      </c>
      <c r="N3403" s="6">
        <f>HYPERLINK("http://www.eum.go.kr/web/ar/lu/luLandDet.jsp?pnu=4311232029100210004&amp;isNoScr=script&amp;mode=search", "토지이음")</f>
        <v/>
      </c>
      <c r="O3403" s="3" t="inlineStr">
        <is>
          <t>대전토지로무소</t>
        </is>
      </c>
      <c r="P3403" s="4" t="n">
        <v>1</v>
      </c>
      <c r="Q3403" s="4" t="n">
        <v>567</v>
      </c>
      <c r="R3403" s="3" t="inlineStr">
        <is>
          <t>지정되지않음</t>
        </is>
      </c>
      <c r="S3403" s="3" t="inlineStr">
        <is>
          <t>상업용</t>
        </is>
      </c>
      <c r="T3403" s="3" t="inlineStr">
        <is>
          <t>평지</t>
        </is>
      </c>
      <c r="U3403" s="3" t="inlineStr">
        <is>
          <t>세로장방</t>
        </is>
      </c>
      <c r="V3403" s="3" t="inlineStr">
        <is>
          <t>소로한면</t>
        </is>
      </c>
    </row>
    <row r="3404">
      <c r="A3404" s="3" t="inlineStr">
        <is>
          <t>현도면 하석리 21-4</t>
        </is>
      </c>
      <c r="B3404" s="3" t="inlineStr">
        <is>
          <t>개발제한구역</t>
        </is>
      </c>
      <c r="C3404" s="3" t="inlineStr">
        <is>
          <t>대</t>
        </is>
      </c>
      <c r="D3404" s="3" t="inlineStr">
        <is>
          <t>대</t>
        </is>
      </c>
      <c r="E3404" s="3" t="inlineStr">
        <is>
          <t>매매</t>
        </is>
      </c>
      <c r="F3404" s="4" t="n">
        <v>140000</v>
      </c>
      <c r="G3404" s="4" t="n">
        <v>1679</v>
      </c>
      <c r="H3404" s="4" t="n">
        <v>508</v>
      </c>
      <c r="I3404" s="5" t="n">
        <v>275.6</v>
      </c>
      <c r="J3404" s="5" t="n">
        <v>101</v>
      </c>
      <c r="K3404" s="3" t="inlineStr">
        <is>
          <t>현재 식당으로 성업중 주택 및 식당건물 두체포함일괄매도원함</t>
        </is>
      </c>
      <c r="L3404" s="6">
        <f>HYPERLINK("https://fin.land.naver.com/articles/2652660855", "매물Link")</f>
        <v/>
      </c>
      <c r="M3404" s="6">
        <f>HYPERLINK("https://map.naver.com/p/search/현도면 하석리 21-4", "지도Link")</f>
        <v/>
      </c>
      <c r="N3404" s="6">
        <f>HYPERLINK("http://www.eum.go.kr/web/ar/lu/luLandDet.jsp?pnu=4311232029100210004&amp;isNoScr=script&amp;mode=search", "토지이음")</f>
        <v/>
      </c>
      <c r="O3404" s="3" t="inlineStr">
        <is>
          <t>신동아영화</t>
        </is>
      </c>
      <c r="P3404" s="4" t="n">
        <v>1</v>
      </c>
      <c r="Q3404" s="4" t="n">
        <v>567</v>
      </c>
      <c r="R3404" s="3" t="inlineStr">
        <is>
          <t>지정되지않음</t>
        </is>
      </c>
      <c r="S3404" s="3" t="inlineStr">
        <is>
          <t>상업용</t>
        </is>
      </c>
      <c r="T3404" s="3" t="inlineStr">
        <is>
          <t>평지</t>
        </is>
      </c>
      <c r="U3404" s="3" t="inlineStr">
        <is>
          <t>세로장방</t>
        </is>
      </c>
      <c r="V3404" s="3" t="inlineStr">
        <is>
          <t>소로한면</t>
        </is>
      </c>
    </row>
    <row r="3405">
      <c r="A3405" s="3" t="inlineStr">
        <is>
          <t>현도면 하석리 471</t>
        </is>
      </c>
      <c r="B3405" s="3" t="inlineStr">
        <is>
          <t>개발제한구역</t>
        </is>
      </c>
      <c r="C3405" s="3" t="inlineStr">
        <is>
          <t>전</t>
        </is>
      </c>
      <c r="D3405" s="3" t="inlineStr">
        <is>
          <t>전</t>
        </is>
      </c>
      <c r="E3405" s="3" t="inlineStr">
        <is>
          <t>매매</t>
        </is>
      </c>
      <c r="F3405" s="4" t="n">
        <v>8000</v>
      </c>
      <c r="G3405" s="4" t="n">
        <v>1174</v>
      </c>
      <c r="H3405" s="4" t="n">
        <v>355</v>
      </c>
      <c r="I3405" s="5" t="n">
        <v>22.5</v>
      </c>
      <c r="J3405" s="5" t="n">
        <v>9.199999999999999</v>
      </c>
      <c r="K3405" s="3" t="inlineStr">
        <is>
          <t>청주시 서원구 현도면 하석리 토지매매</t>
        </is>
      </c>
      <c r="L3405" s="6">
        <f>HYPERLINK("https://fin.land.naver.com/articles/2655019426", "매물Link")</f>
        <v/>
      </c>
      <c r="M3405" s="6">
        <f>HYPERLINK("https://map.naver.com/p/search/현도면 하석리 471", "지도Link")</f>
        <v/>
      </c>
      <c r="N3405" s="6">
        <f>HYPERLINK("http://www.eum.go.kr/web/ar/lu/luLandDet.jsp?pnu=4311232029104710000&amp;isNoScr=script&amp;mode=search", "토지이음")</f>
        <v/>
      </c>
      <c r="O3405" s="3" t="inlineStr">
        <is>
          <t>포도</t>
        </is>
      </c>
      <c r="P3405" s="4" t="n">
        <v>1</v>
      </c>
      <c r="Q3405" s="4" t="n">
        <v>1174</v>
      </c>
      <c r="R3405" s="3" t="inlineStr">
        <is>
          <t>지정되지않음</t>
        </is>
      </c>
      <c r="S3405" s="3" t="inlineStr">
        <is>
          <t>전</t>
        </is>
      </c>
      <c r="T3405" s="3" t="inlineStr">
        <is>
          <t>완경사</t>
        </is>
      </c>
      <c r="U3405" s="3" t="inlineStr">
        <is>
          <t>부정형</t>
        </is>
      </c>
      <c r="V3405" s="3" t="inlineStr">
        <is>
          <t>맹지</t>
        </is>
      </c>
    </row>
    <row r="3406">
      <c r="A3406" s="3" t="inlineStr">
        <is>
          <t>현도면 하석리 560</t>
        </is>
      </c>
      <c r="B3406" s="3" t="inlineStr">
        <is>
          <t>개발제한구역</t>
        </is>
      </c>
      <c r="C3406" s="3" t="inlineStr">
        <is>
          <t>답</t>
        </is>
      </c>
      <c r="D3406" s="3" t="inlineStr">
        <is>
          <t>답</t>
        </is>
      </c>
      <c r="E3406" s="3" t="inlineStr">
        <is>
          <t>매매</t>
        </is>
      </c>
      <c r="F3406" s="4" t="n">
        <v>18000</v>
      </c>
      <c r="G3406" s="4" t="n">
        <v>2398</v>
      </c>
      <c r="H3406" s="4" t="n">
        <v>725</v>
      </c>
      <c r="I3406" s="5" t="n">
        <v>24.8</v>
      </c>
      <c r="J3406" s="5" t="n">
        <v>8.9</v>
      </c>
      <c r="K3406" s="3" t="inlineStr">
        <is>
          <t>접근성 아주 좋고 비옥한 토지입니다</t>
        </is>
      </c>
      <c r="L3406" s="6">
        <f>HYPERLINK("https://fin.land.naver.com/articles/2651423344", "매물Link")</f>
        <v/>
      </c>
      <c r="M3406" s="6">
        <f>HYPERLINK("https://map.naver.com/p/search/현도면 하석리 560", "지도Link")</f>
        <v/>
      </c>
      <c r="N3406" s="6">
        <f>HYPERLINK("http://www.eum.go.kr/web/ar/lu/luLandDet.jsp?pnu=4311232029105600000&amp;isNoScr=script&amp;mode=search", "토지이음")</f>
        <v/>
      </c>
      <c r="O3406" s="3" t="inlineStr">
        <is>
          <t>대웅</t>
        </is>
      </c>
      <c r="P3406" s="4" t="n">
        <v>1</v>
      </c>
      <c r="Q3406" s="4" t="n">
        <v>2398</v>
      </c>
      <c r="R3406" s="3" t="inlineStr">
        <is>
          <t>지정되지않음</t>
        </is>
      </c>
      <c r="S3406" s="3" t="inlineStr">
        <is>
          <t>답</t>
        </is>
      </c>
      <c r="T3406" s="3" t="inlineStr">
        <is>
          <t>완경사</t>
        </is>
      </c>
      <c r="U3406" s="3" t="inlineStr">
        <is>
          <t>부정형</t>
        </is>
      </c>
      <c r="V3406" s="3" t="inlineStr">
        <is>
          <t>세로한면(가)</t>
        </is>
      </c>
    </row>
    <row r="3407">
      <c r="A3407" s="3" t="inlineStr">
        <is>
          <t>현도면 하석리 660</t>
        </is>
      </c>
      <c r="B3407" s="3" t="inlineStr">
        <is>
          <t>개발제한구역</t>
        </is>
      </c>
      <c r="C3407" s="3" t="inlineStr">
        <is>
          <t>답</t>
        </is>
      </c>
      <c r="D3407" s="3" t="inlineStr">
        <is>
          <t>답</t>
        </is>
      </c>
      <c r="E3407" s="3" t="inlineStr">
        <is>
          <t>매매</t>
        </is>
      </c>
      <c r="F3407" s="4" t="n">
        <v>15600</v>
      </c>
      <c r="G3407" s="4" t="n">
        <v>2038</v>
      </c>
      <c r="H3407" s="4" t="n">
        <v>616</v>
      </c>
      <c r="I3407" s="5" t="n">
        <v>25.3</v>
      </c>
      <c r="J3407" s="5" t="n">
        <v>11.3</v>
      </c>
      <c r="K3407" s="3" t="inlineStr">
        <is>
          <t>경지정리된 논이며 개발제한구역 입니다</t>
        </is>
      </c>
      <c r="L3407" s="6">
        <f>HYPERLINK("https://fin.land.naver.com/articles/2653571380", "매물Link")</f>
        <v/>
      </c>
      <c r="M3407" s="6">
        <f>HYPERLINK("https://map.naver.com/p/search/현도면 하석리 660", "지도Link")</f>
        <v/>
      </c>
      <c r="N3407" s="6">
        <f>HYPERLINK("http://www.eum.go.kr/web/ar/lu/luLandDet.jsp?pnu=4311232029106600000&amp;isNoScr=script&amp;mode=search", "토지이음")</f>
        <v/>
      </c>
      <c r="O3407" s="3" t="inlineStr">
        <is>
          <t>대웅</t>
        </is>
      </c>
      <c r="P3407" s="4" t="n">
        <v>1</v>
      </c>
      <c r="Q3407" s="4" t="n">
        <v>2038.1</v>
      </c>
      <c r="R3407" s="3" t="inlineStr">
        <is>
          <t>지정되지않음</t>
        </is>
      </c>
      <c r="S3407" s="3" t="inlineStr">
        <is>
          <t>답</t>
        </is>
      </c>
      <c r="T3407" s="3" t="inlineStr">
        <is>
          <t>평지</t>
        </is>
      </c>
      <c r="U3407" s="3" t="inlineStr">
        <is>
          <t>세로장방</t>
        </is>
      </c>
      <c r="V3407" s="3" t="inlineStr">
        <is>
          <t>세로한면(가)</t>
        </is>
      </c>
    </row>
    <row r="3408">
      <c r="A3408" s="3" t="inlineStr">
        <is>
          <t>현도면 하석리 산80</t>
        </is>
      </c>
      <c r="B3408" s="3" t="inlineStr">
        <is>
          <t>개발제한구역</t>
        </is>
      </c>
      <c r="C3408" s="3" t="inlineStr">
        <is>
          <t>임야</t>
        </is>
      </c>
      <c r="D3408" s="3" t="inlineStr">
        <is>
          <t>임야</t>
        </is>
      </c>
      <c r="E3408" s="3" t="inlineStr">
        <is>
          <t>매매</t>
        </is>
      </c>
      <c r="F3408" s="4" t="n">
        <v>15000</v>
      </c>
      <c r="G3408" s="4" t="n">
        <v>19438</v>
      </c>
      <c r="H3408" s="4" t="n">
        <v>5880</v>
      </c>
      <c r="I3408" s="5" t="n">
        <v>2.6</v>
      </c>
      <c r="J3408" s="5" t="n">
        <v>1.9</v>
      </c>
      <c r="K3408" s="3" t="inlineStr">
        <is>
          <t>대청댐 인근 임야</t>
        </is>
      </c>
      <c r="L3408" s="6">
        <f>HYPERLINK("https://fin.land.naver.com/articles/2653857625", "매물Link")</f>
        <v/>
      </c>
      <c r="M3408" s="6">
        <f>HYPERLINK("https://map.naver.com/p/search/현도면 하석리 산80", "지도Link")</f>
        <v/>
      </c>
      <c r="N3408" s="6">
        <f>HYPERLINK("http://www.eum.go.kr/web/ar/lu/luLandDet.jsp?pnu=4311232029200800000&amp;isNoScr=script&amp;mode=search", "토지이음")</f>
        <v/>
      </c>
      <c r="O3408" s="3" t="inlineStr">
        <is>
          <t>한평</t>
        </is>
      </c>
      <c r="P3408" s="4" t="n">
        <v>1</v>
      </c>
      <c r="Q3408" s="4" t="n">
        <v>19438</v>
      </c>
      <c r="R3408" s="3" t="inlineStr">
        <is>
          <t>지정되지않음</t>
        </is>
      </c>
      <c r="S3408" s="3" t="inlineStr">
        <is>
          <t>자연림</t>
        </is>
      </c>
      <c r="T3408" s="3" t="inlineStr">
        <is>
          <t>완경사</t>
        </is>
      </c>
      <c r="U3408" s="3" t="inlineStr">
        <is>
          <t>부정형</t>
        </is>
      </c>
      <c r="V3408" s="3" t="inlineStr">
        <is>
          <t>맹지</t>
        </is>
      </c>
    </row>
  </sheetData>
  <autoFilter ref="A1:V34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46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2024</v>
      </c>
      <c r="B8735" s="4" t="n">
        <v>4000</v>
      </c>
      <c r="C8735" s="4" t="n">
        <v>1580</v>
      </c>
      <c r="D8735" s="4" t="n">
        <v>477.95</v>
      </c>
      <c r="E8735" s="5" t="n">
        <v>8.4</v>
      </c>
      <c r="F8735" s="3" t="inlineStr">
        <is>
          <t>유구읍</t>
        </is>
      </c>
      <c r="G8735" s="3" t="inlineStr">
        <is>
          <t>추계리</t>
        </is>
      </c>
      <c r="H8735" s="3" t="inlineStr">
        <is>
          <t>보전관리지역</t>
        </is>
      </c>
      <c r="I8735" s="3" t="inlineStr">
        <is>
          <t>답</t>
        </is>
      </c>
      <c r="J8735" s="3" t="inlineStr">
        <is>
          <t>유구읍</t>
        </is>
      </c>
    </row>
    <row r="8736">
      <c r="A8736" s="3" t="n">
        <v>2025</v>
      </c>
      <c r="B8736" s="4" t="n">
        <v>3700</v>
      </c>
      <c r="C8736" s="4" t="n">
        <v>470</v>
      </c>
      <c r="D8736" s="4" t="n">
        <v>142.175</v>
      </c>
      <c r="E8736" s="5" t="n">
        <v>26</v>
      </c>
      <c r="F8736" s="3" t="inlineStr">
        <is>
          <t>유구읍</t>
        </is>
      </c>
      <c r="G8736" s="3" t="inlineStr">
        <is>
          <t>명곡리</t>
        </is>
      </c>
      <c r="H8736" s="3" t="inlineStr">
        <is>
          <t>계획관리지역</t>
        </is>
      </c>
      <c r="I8736" s="3" t="inlineStr">
        <is>
          <t>전</t>
        </is>
      </c>
      <c r="J8736" s="3" t="inlineStr">
        <is>
          <t>유구읍</t>
        </is>
      </c>
    </row>
    <row r="8737">
      <c r="A8737" s="3" t="n">
        <v>2026</v>
      </c>
      <c r="B8737" s="4" t="n">
        <v>10528</v>
      </c>
      <c r="C8737" s="4" t="n">
        <v>3008</v>
      </c>
      <c r="D8737" s="4" t="n">
        <v>909.92</v>
      </c>
      <c r="E8737" s="5" t="n">
        <v>11.6</v>
      </c>
      <c r="F8737" s="3" t="inlineStr">
        <is>
          <t>유구읍</t>
        </is>
      </c>
      <c r="G8737" s="3" t="inlineStr">
        <is>
          <t>입석리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유구읍</t>
        </is>
      </c>
    </row>
    <row r="8738">
      <c r="A8738" s="3" t="n">
        <v>2026</v>
      </c>
      <c r="B8738" s="4" t="n">
        <v>8492</v>
      </c>
      <c r="C8738" s="4" t="n">
        <v>2359</v>
      </c>
      <c r="D8738" s="4" t="n">
        <v>713.5975</v>
      </c>
      <c r="E8738" s="5" t="n">
        <v>11.9</v>
      </c>
      <c r="F8738" s="3" t="inlineStr">
        <is>
          <t>유구읍</t>
        </is>
      </c>
      <c r="G8738" s="3" t="inlineStr">
        <is>
          <t>입석리</t>
        </is>
      </c>
      <c r="H8738" s="3" t="inlineStr">
        <is>
          <t>농림지역</t>
        </is>
      </c>
      <c r="I8738" s="3" t="inlineStr">
        <is>
          <t>답</t>
        </is>
      </c>
      <c r="J8738" s="3" t="inlineStr">
        <is>
          <t>유구읍</t>
        </is>
      </c>
    </row>
    <row r="8739">
      <c r="A8739" s="3" t="n">
        <v>2026</v>
      </c>
      <c r="B8739" s="4" t="n">
        <v>10930</v>
      </c>
      <c r="C8739" s="4" t="n">
        <v>3036</v>
      </c>
      <c r="D8739" s="4" t="n">
        <v>918.39</v>
      </c>
      <c r="E8739" s="5" t="n">
        <v>11.9</v>
      </c>
      <c r="F8739" s="3" t="inlineStr">
        <is>
          <t>유구읍</t>
        </is>
      </c>
      <c r="G8739" s="3" t="inlineStr">
        <is>
          <t>입석리</t>
        </is>
      </c>
      <c r="H8739" s="3" t="inlineStr">
        <is>
          <t>농림지역</t>
        </is>
      </c>
      <c r="I8739" s="3" t="inlineStr">
        <is>
          <t>답</t>
        </is>
      </c>
      <c r="J8739" s="3" t="inlineStr">
        <is>
          <t>유구읍</t>
        </is>
      </c>
    </row>
    <row r="8740">
      <c r="A8740" s="3" t="n">
        <v>2026</v>
      </c>
      <c r="B8740" s="4" t="n">
        <v>3800</v>
      </c>
      <c r="C8740" s="4" t="n">
        <v>1137</v>
      </c>
      <c r="D8740" s="4" t="n">
        <v>343.9425</v>
      </c>
      <c r="E8740" s="5" t="n">
        <v>11</v>
      </c>
      <c r="F8740" s="3" t="inlineStr">
        <is>
          <t>유구읍</t>
        </is>
      </c>
      <c r="G8740" s="3" t="inlineStr">
        <is>
          <t>신영리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유구읍</t>
        </is>
      </c>
    </row>
    <row r="8741">
      <c r="A8741" s="3" t="n">
        <v>2026</v>
      </c>
      <c r="B8741" s="4" t="n">
        <v>4000</v>
      </c>
      <c r="C8741" s="4" t="n">
        <v>873</v>
      </c>
      <c r="D8741" s="4" t="n">
        <v>264.0825</v>
      </c>
      <c r="E8741" s="5" t="n">
        <v>15.1</v>
      </c>
      <c r="F8741" s="3" t="inlineStr">
        <is>
          <t>유구읍</t>
        </is>
      </c>
      <c r="G8741" s="3" t="inlineStr">
        <is>
          <t>백교리</t>
        </is>
      </c>
      <c r="H8741" s="3" t="inlineStr">
        <is>
          <t>자연녹지지역</t>
        </is>
      </c>
      <c r="I8741" s="3" t="inlineStr">
        <is>
          <t>답</t>
        </is>
      </c>
      <c r="J8741" s="3" t="inlineStr">
        <is>
          <t>유구읍</t>
        </is>
      </c>
    </row>
    <row r="8742">
      <c r="A8742" s="3" t="n">
        <v>2026</v>
      </c>
      <c r="B8742" s="4" t="n">
        <v>5000</v>
      </c>
      <c r="C8742" s="4" t="n">
        <v>1081</v>
      </c>
      <c r="D8742" s="4" t="n">
        <v>327.0025</v>
      </c>
      <c r="E8742" s="5" t="n">
        <v>15.3</v>
      </c>
      <c r="F8742" s="3" t="inlineStr">
        <is>
          <t>유구읍</t>
        </is>
      </c>
      <c r="G8742" s="3" t="inlineStr">
        <is>
          <t>백교리</t>
        </is>
      </c>
      <c r="H8742" s="3" t="inlineStr">
        <is>
          <t>자연녹지지역</t>
        </is>
      </c>
      <c r="I8742" s="3" t="inlineStr">
        <is>
          <t>답</t>
        </is>
      </c>
      <c r="J8742" s="3" t="inlineStr">
        <is>
          <t>유구읍</t>
        </is>
      </c>
    </row>
    <row r="8743">
      <c r="A8743" s="3" t="n">
        <v>2026</v>
      </c>
      <c r="B8743" s="4" t="n">
        <v>2100</v>
      </c>
      <c r="C8743" s="4" t="n">
        <v>636</v>
      </c>
      <c r="D8743" s="4" t="n">
        <v>192.39</v>
      </c>
      <c r="E8743" s="5" t="n">
        <v>10.9</v>
      </c>
      <c r="F8743" s="3" t="inlineStr">
        <is>
          <t>유구읍</t>
        </is>
      </c>
      <c r="G8743" s="3" t="inlineStr">
        <is>
          <t>만천리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유구읍</t>
        </is>
      </c>
    </row>
    <row r="8744">
      <c r="A8744" s="3" t="n">
        <v>2026</v>
      </c>
      <c r="B8744" s="4" t="n">
        <v>520</v>
      </c>
      <c r="C8744" s="4" t="n">
        <v>134</v>
      </c>
      <c r="D8744" s="4" t="n">
        <v>40.535</v>
      </c>
      <c r="E8744" s="5" t="n">
        <v>12.8</v>
      </c>
      <c r="F8744" s="3" t="inlineStr">
        <is>
          <t>유구읍</t>
        </is>
      </c>
      <c r="G8744" s="3" t="inlineStr">
        <is>
          <t>신달리</t>
        </is>
      </c>
      <c r="H8744" s="3" t="inlineStr">
        <is>
          <t>보전관리지역</t>
        </is>
      </c>
      <c r="I8744" s="3" t="inlineStr">
        <is>
          <t>대</t>
        </is>
      </c>
      <c r="J8744" s="3" t="inlineStr">
        <is>
          <t>유구읍</t>
        </is>
      </c>
    </row>
    <row r="8745">
      <c r="A8745" s="3" t="n">
        <v>2022</v>
      </c>
      <c r="B8745" s="4" t="n">
        <v>13000</v>
      </c>
      <c r="C8745" s="4" t="n">
        <v>2612</v>
      </c>
      <c r="D8745" s="4" t="n">
        <v>790.13</v>
      </c>
      <c r="E8745" s="5" t="n">
        <v>16.5</v>
      </c>
      <c r="F8745" s="3" t="inlineStr">
        <is>
          <t>유구읍</t>
        </is>
      </c>
      <c r="G8745" s="3" t="inlineStr">
        <is>
          <t>신영리</t>
        </is>
      </c>
      <c r="H8745" s="3" t="inlineStr">
        <is>
          <t>보전관리지역</t>
        </is>
      </c>
      <c r="I8745" s="3" t="inlineStr">
        <is>
          <t>답</t>
        </is>
      </c>
      <c r="J8745" s="3" t="inlineStr">
        <is>
          <t>유구읍</t>
        </is>
      </c>
    </row>
    <row r="8746">
      <c r="A8746" s="3" t="n">
        <v>2022</v>
      </c>
      <c r="B8746" s="4" t="n">
        <v>2812</v>
      </c>
      <c r="C8746" s="4" t="n">
        <v>981</v>
      </c>
      <c r="D8746" s="4" t="n">
        <v>296.7525</v>
      </c>
      <c r="E8746" s="5" t="n">
        <v>9.5</v>
      </c>
      <c r="F8746" s="3" t="inlineStr">
        <is>
          <t>유구읍</t>
        </is>
      </c>
      <c r="G8746" s="3" t="inlineStr">
        <is>
          <t>만천리</t>
        </is>
      </c>
      <c r="H8746" s="3" t="inlineStr">
        <is>
          <t>농림지역</t>
        </is>
      </c>
      <c r="I8746" s="3" t="inlineStr">
        <is>
          <t>답</t>
        </is>
      </c>
      <c r="J8746" s="3" t="inlineStr">
        <is>
          <t>유구읍</t>
        </is>
      </c>
    </row>
    <row r="8747">
      <c r="A8747" s="3" t="n">
        <v>2022</v>
      </c>
      <c r="B8747" s="4" t="n">
        <v>3800</v>
      </c>
      <c r="C8747" s="4" t="n">
        <v>330</v>
      </c>
      <c r="D8747" s="4" t="n">
        <v>99.825</v>
      </c>
      <c r="E8747" s="5" t="n">
        <v>38.1</v>
      </c>
      <c r="F8747" s="3" t="inlineStr">
        <is>
          <t>유구읍</t>
        </is>
      </c>
      <c r="G8747" s="3" t="inlineStr">
        <is>
          <t>동해리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유구읍</t>
        </is>
      </c>
    </row>
    <row r="8748">
      <c r="A8748" s="3" t="n">
        <v>2022</v>
      </c>
      <c r="B8748" s="4" t="n">
        <v>5700</v>
      </c>
      <c r="C8748" s="4" t="n">
        <v>497</v>
      </c>
      <c r="D8748" s="4" t="n">
        <v>150.3425</v>
      </c>
      <c r="E8748" s="5" t="n">
        <v>37.9</v>
      </c>
      <c r="F8748" s="3" t="inlineStr">
        <is>
          <t>유구읍</t>
        </is>
      </c>
      <c r="G8748" s="3" t="inlineStr">
        <is>
          <t>동해리</t>
        </is>
      </c>
      <c r="H8748" s="3" t="inlineStr">
        <is>
          <t>계획관리지역</t>
        </is>
      </c>
      <c r="I8748" s="3" t="inlineStr">
        <is>
          <t>답</t>
        </is>
      </c>
      <c r="J8748" s="3" t="inlineStr">
        <is>
          <t>유구읍</t>
        </is>
      </c>
    </row>
    <row r="8749">
      <c r="A8749" s="3" t="n">
        <v>2022</v>
      </c>
      <c r="B8749" s="4" t="n">
        <v>2000</v>
      </c>
      <c r="C8749" s="4" t="n">
        <v>1055</v>
      </c>
      <c r="D8749" s="4" t="n">
        <v>319.1375</v>
      </c>
      <c r="E8749" s="5" t="n">
        <v>6.3</v>
      </c>
      <c r="F8749" s="3" t="inlineStr">
        <is>
          <t>유구읍</t>
        </is>
      </c>
      <c r="G8749" s="3" t="inlineStr">
        <is>
          <t>백교리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유구읍</t>
        </is>
      </c>
    </row>
    <row r="8750">
      <c r="A8750" s="3" t="n">
        <v>2022</v>
      </c>
      <c r="B8750" s="4" t="n">
        <v>3057</v>
      </c>
      <c r="C8750" s="4" t="n">
        <v>652</v>
      </c>
      <c r="D8750" s="4" t="n">
        <v>197.23</v>
      </c>
      <c r="E8750" s="5" t="n">
        <v>15.5</v>
      </c>
      <c r="F8750" s="3" t="inlineStr">
        <is>
          <t>유구읍</t>
        </is>
      </c>
      <c r="G8750" s="3" t="inlineStr">
        <is>
          <t>백교리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유구읍</t>
        </is>
      </c>
    </row>
    <row r="8751">
      <c r="A8751" s="3" t="n">
        <v>2022</v>
      </c>
      <c r="B8751" s="4" t="n">
        <v>2217</v>
      </c>
      <c r="C8751" s="4" t="n">
        <v>449</v>
      </c>
      <c r="D8751" s="4" t="n">
        <v>135.8225</v>
      </c>
      <c r="E8751" s="5" t="n">
        <v>16.3</v>
      </c>
      <c r="F8751" s="3" t="inlineStr">
        <is>
          <t>유구읍</t>
        </is>
      </c>
      <c r="G8751" s="3" t="inlineStr">
        <is>
          <t>백교리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유구읍</t>
        </is>
      </c>
    </row>
    <row r="8752">
      <c r="A8752" s="3" t="n">
        <v>2022</v>
      </c>
      <c r="B8752" s="4" t="n">
        <v>596</v>
      </c>
      <c r="C8752" s="4" t="n">
        <v>469</v>
      </c>
      <c r="D8752" s="4" t="n">
        <v>141.8725</v>
      </c>
      <c r="E8752" s="5" t="n">
        <v>4.2</v>
      </c>
      <c r="F8752" s="3" t="inlineStr">
        <is>
          <t>유구읍</t>
        </is>
      </c>
      <c r="G8752" s="3" t="inlineStr">
        <is>
          <t>녹천리</t>
        </is>
      </c>
      <c r="H8752" s="3" t="inlineStr">
        <is>
          <t>계획관리지역</t>
        </is>
      </c>
      <c r="I8752" s="3" t="inlineStr">
        <is>
          <t>하천</t>
        </is>
      </c>
      <c r="J8752" s="3" t="inlineStr">
        <is>
          <t>유구읍</t>
        </is>
      </c>
    </row>
    <row r="8753">
      <c r="A8753" s="3" t="n">
        <v>2022</v>
      </c>
      <c r="B8753" s="4" t="n">
        <v>716</v>
      </c>
      <c r="C8753" s="4" t="n">
        <v>205</v>
      </c>
      <c r="D8753" s="4" t="n">
        <v>62.0125</v>
      </c>
      <c r="E8753" s="5" t="n">
        <v>11.5</v>
      </c>
      <c r="F8753" s="3" t="inlineStr">
        <is>
          <t>유구읍</t>
        </is>
      </c>
      <c r="G8753" s="3" t="inlineStr">
        <is>
          <t>녹천리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유구읍</t>
        </is>
      </c>
    </row>
    <row r="8754">
      <c r="A8754" s="3" t="n">
        <v>2022</v>
      </c>
      <c r="B8754" s="4" t="n">
        <v>188</v>
      </c>
      <c r="C8754" s="4" t="n">
        <v>288</v>
      </c>
      <c r="D8754" s="4" t="n">
        <v>87.12</v>
      </c>
      <c r="E8754" s="5" t="n">
        <v>2.2</v>
      </c>
      <c r="F8754" s="3" t="inlineStr">
        <is>
          <t>유구읍</t>
        </is>
      </c>
      <c r="G8754" s="3" t="inlineStr">
        <is>
          <t>녹천리</t>
        </is>
      </c>
      <c r="H8754" s="3" t="inlineStr">
        <is>
          <t>계획관리지역</t>
        </is>
      </c>
      <c r="I8754" s="3" t="inlineStr">
        <is>
          <t>하천</t>
        </is>
      </c>
      <c r="J8754" s="3" t="inlineStr">
        <is>
          <t>유구읍</t>
        </is>
      </c>
    </row>
    <row r="8755">
      <c r="A8755" s="3" t="n">
        <v>2022</v>
      </c>
      <c r="B8755" s="4" t="n">
        <v>7000</v>
      </c>
      <c r="C8755" s="4" t="n">
        <v>992</v>
      </c>
      <c r="D8755" s="4" t="n">
        <v>300.08</v>
      </c>
      <c r="E8755" s="5" t="n">
        <v>23.3</v>
      </c>
      <c r="F8755" s="3" t="inlineStr">
        <is>
          <t>유구읍</t>
        </is>
      </c>
      <c r="G8755" s="3" t="inlineStr">
        <is>
          <t>만천리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유구읍</t>
        </is>
      </c>
    </row>
    <row r="8756">
      <c r="A8756" s="3" t="n">
        <v>2022</v>
      </c>
      <c r="B8756" s="4" t="n">
        <v>40</v>
      </c>
      <c r="C8756" s="4" t="n">
        <v>7</v>
      </c>
      <c r="D8756" s="4" t="n">
        <v>2.1175</v>
      </c>
      <c r="E8756" s="5" t="n">
        <v>18.9</v>
      </c>
      <c r="F8756" s="3" t="inlineStr">
        <is>
          <t>유구읍</t>
        </is>
      </c>
      <c r="G8756" s="3" t="inlineStr">
        <is>
          <t>석남리</t>
        </is>
      </c>
      <c r="H8756" s="3" t="inlineStr">
        <is>
          <t>제2종일반주거지역</t>
        </is>
      </c>
      <c r="I8756" s="3" t="inlineStr">
        <is>
          <t>도로</t>
        </is>
      </c>
      <c r="J8756" s="3" t="inlineStr">
        <is>
          <t>유구읍</t>
        </is>
      </c>
    </row>
    <row r="8757">
      <c r="A8757" s="3" t="n">
        <v>2022</v>
      </c>
      <c r="B8757" s="4" t="n">
        <v>260</v>
      </c>
      <c r="C8757" s="4" t="n">
        <v>37</v>
      </c>
      <c r="D8757" s="4" t="n">
        <v>11.1925</v>
      </c>
      <c r="E8757" s="5" t="n">
        <v>23.2</v>
      </c>
      <c r="F8757" s="3" t="inlineStr">
        <is>
          <t>유구읍</t>
        </is>
      </c>
      <c r="G8757" s="3" t="inlineStr">
        <is>
          <t>석남리</t>
        </is>
      </c>
      <c r="H8757" s="3" t="inlineStr">
        <is>
          <t>제2종일반주거지역</t>
        </is>
      </c>
      <c r="I8757" s="3" t="inlineStr">
        <is>
          <t>대</t>
        </is>
      </c>
      <c r="J8757" s="3" t="inlineStr">
        <is>
          <t>유구읍</t>
        </is>
      </c>
    </row>
    <row r="8758">
      <c r="A8758" s="3" t="n">
        <v>2022</v>
      </c>
      <c r="B8758" s="4" t="n">
        <v>42</v>
      </c>
      <c r="C8758" s="4" t="n">
        <v>3</v>
      </c>
      <c r="D8758" s="4" t="n">
        <v>0.9075</v>
      </c>
      <c r="E8758" s="5" t="n">
        <v>46.3</v>
      </c>
      <c r="F8758" s="3" t="inlineStr">
        <is>
          <t>유구읍</t>
        </is>
      </c>
      <c r="G8758" s="3" t="inlineStr">
        <is>
          <t>석남리</t>
        </is>
      </c>
      <c r="H8758" s="3" t="inlineStr">
        <is>
          <t>일반상업지역</t>
        </is>
      </c>
      <c r="I8758" s="3" t="inlineStr">
        <is>
          <t>임야</t>
        </is>
      </c>
      <c r="J8758" s="3" t="inlineStr">
        <is>
          <t>유구읍</t>
        </is>
      </c>
    </row>
    <row r="8759">
      <c r="A8759" s="3" t="n">
        <v>2022</v>
      </c>
      <c r="B8759" s="4" t="n">
        <v>3500</v>
      </c>
      <c r="C8759" s="4" t="n">
        <v>207</v>
      </c>
      <c r="D8759" s="4" t="n">
        <v>62.6175</v>
      </c>
      <c r="E8759" s="5" t="n">
        <v>55.9</v>
      </c>
      <c r="F8759" s="3" t="inlineStr">
        <is>
          <t>유구읍</t>
        </is>
      </c>
      <c r="G8759" s="3" t="inlineStr">
        <is>
          <t>석남리</t>
        </is>
      </c>
      <c r="H8759" s="3" t="inlineStr">
        <is>
          <t>일반상업지역</t>
        </is>
      </c>
      <c r="I8759" s="3" t="inlineStr">
        <is>
          <t>임야</t>
        </is>
      </c>
      <c r="J8759" s="3" t="inlineStr">
        <is>
          <t>유구읍</t>
        </is>
      </c>
    </row>
    <row r="8760">
      <c r="A8760" s="3" t="n">
        <v>2026</v>
      </c>
      <c r="B8760" s="4" t="n">
        <v>4858</v>
      </c>
      <c r="C8760" s="4" t="n">
        <v>8255</v>
      </c>
      <c r="D8760" s="4" t="n">
        <v>2497.1375</v>
      </c>
      <c r="E8760" s="5" t="n">
        <v>1.9</v>
      </c>
      <c r="F8760" s="3" t="inlineStr">
        <is>
          <t>유구읍</t>
        </is>
      </c>
      <c r="G8760" s="3" t="inlineStr">
        <is>
          <t>문금리</t>
        </is>
      </c>
      <c r="H8760" s="3" t="inlineStr">
        <is>
          <t>농림지역</t>
        </is>
      </c>
      <c r="I8760" s="3" t="inlineStr">
        <is>
          <t>임야</t>
        </is>
      </c>
      <c r="J8760" s="3" t="inlineStr">
        <is>
          <t>유구읍</t>
        </is>
      </c>
    </row>
    <row r="8761">
      <c r="A8761" s="3" t="n">
        <v>2026</v>
      </c>
      <c r="B8761" s="4" t="n">
        <v>642</v>
      </c>
      <c r="C8761" s="4" t="n">
        <v>1090</v>
      </c>
      <c r="D8761" s="4" t="n">
        <v>329.725</v>
      </c>
      <c r="E8761" s="5" t="n">
        <v>1.9</v>
      </c>
      <c r="F8761" s="3" t="inlineStr">
        <is>
          <t>유구읍</t>
        </is>
      </c>
      <c r="G8761" s="3" t="inlineStr">
        <is>
          <t>문금리</t>
        </is>
      </c>
      <c r="H8761" s="3" t="inlineStr">
        <is>
          <t>농림지역</t>
        </is>
      </c>
      <c r="I8761" s="3" t="inlineStr">
        <is>
          <t>임야</t>
        </is>
      </c>
      <c r="J8761" s="3" t="inlineStr">
        <is>
          <t>유구읍</t>
        </is>
      </c>
    </row>
    <row r="8762">
      <c r="A8762" s="3" t="n">
        <v>2026</v>
      </c>
      <c r="B8762" s="4" t="n">
        <v>785</v>
      </c>
      <c r="C8762" s="4" t="n">
        <v>222</v>
      </c>
      <c r="D8762" s="4" t="n">
        <v>67.155</v>
      </c>
      <c r="E8762" s="5" t="n">
        <v>11.7</v>
      </c>
      <c r="F8762" s="3" t="inlineStr">
        <is>
          <t>유구읍</t>
        </is>
      </c>
      <c r="G8762" s="3" t="inlineStr">
        <is>
          <t>명곡리</t>
        </is>
      </c>
      <c r="H8762" s="3" t="inlineStr">
        <is>
          <t>계획관리지역</t>
        </is>
      </c>
      <c r="I8762" s="3" t="inlineStr">
        <is>
          <t>대</t>
        </is>
      </c>
      <c r="J8762" s="3" t="inlineStr">
        <is>
          <t>유구읍</t>
        </is>
      </c>
    </row>
    <row r="8763">
      <c r="A8763" s="3" t="n">
        <v>2026</v>
      </c>
      <c r="B8763" s="4" t="n">
        <v>11</v>
      </c>
      <c r="C8763" s="4" t="n">
        <v>11</v>
      </c>
      <c r="D8763" s="4" t="n">
        <v>3.3275</v>
      </c>
      <c r="E8763" s="5" t="n">
        <v>3.3</v>
      </c>
      <c r="F8763" s="3" t="inlineStr">
        <is>
          <t>유구읍</t>
        </is>
      </c>
      <c r="G8763" s="3" t="inlineStr">
        <is>
          <t>명곡리</t>
        </is>
      </c>
      <c r="H8763" s="3" t="inlineStr">
        <is>
          <t>계획관리지역</t>
        </is>
      </c>
      <c r="I8763" s="3" t="inlineStr">
        <is>
          <t>도로</t>
        </is>
      </c>
      <c r="J8763" s="3" t="inlineStr">
        <is>
          <t>유구읍</t>
        </is>
      </c>
    </row>
    <row r="8764">
      <c r="A8764" s="3" t="n">
        <v>2026</v>
      </c>
      <c r="B8764" s="4" t="n">
        <v>4</v>
      </c>
      <c r="C8764" s="4" t="n">
        <v>4</v>
      </c>
      <c r="D8764" s="4" t="n">
        <v>1.21</v>
      </c>
      <c r="E8764" s="5" t="n">
        <v>3.3</v>
      </c>
      <c r="F8764" s="3" t="inlineStr">
        <is>
          <t>유구읍</t>
        </is>
      </c>
      <c r="G8764" s="3" t="inlineStr">
        <is>
          <t>명곡리</t>
        </is>
      </c>
      <c r="H8764" s="3" t="inlineStr">
        <is>
          <t>계획관리지역</t>
        </is>
      </c>
      <c r="I8764" s="3" t="inlineStr">
        <is>
          <t>구거</t>
        </is>
      </c>
      <c r="J8764" s="3" t="inlineStr">
        <is>
          <t>유구읍</t>
        </is>
      </c>
    </row>
    <row r="8765">
      <c r="A8765" s="3" t="n">
        <v>2026</v>
      </c>
      <c r="B8765" s="4" t="n">
        <v>6930</v>
      </c>
      <c r="C8765" s="4" t="n">
        <v>654</v>
      </c>
      <c r="D8765" s="4" t="n">
        <v>197.835</v>
      </c>
      <c r="E8765" s="5" t="n">
        <v>35</v>
      </c>
      <c r="F8765" s="3" t="inlineStr">
        <is>
          <t>유구읍</t>
        </is>
      </c>
      <c r="G8765" s="3" t="inlineStr">
        <is>
          <t>구계리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유구읍</t>
        </is>
      </c>
    </row>
    <row r="8766">
      <c r="A8766" s="3" t="n">
        <v>2025</v>
      </c>
      <c r="B8766" s="4" t="n">
        <v>1666</v>
      </c>
      <c r="C8766" s="4" t="n">
        <v>1190</v>
      </c>
      <c r="D8766" s="4" t="n">
        <v>359.975</v>
      </c>
      <c r="E8766" s="5" t="n">
        <v>4.6</v>
      </c>
      <c r="F8766" s="3" t="inlineStr">
        <is>
          <t>유구읍</t>
        </is>
      </c>
      <c r="G8766" s="3" t="inlineStr">
        <is>
          <t>입석리</t>
        </is>
      </c>
      <c r="H8766" s="3" t="inlineStr">
        <is>
          <t>보전관리지역</t>
        </is>
      </c>
      <c r="I8766" s="3" t="inlineStr">
        <is>
          <t>전</t>
        </is>
      </c>
      <c r="J8766" s="3" t="inlineStr">
        <is>
          <t>유구읍</t>
        </is>
      </c>
    </row>
    <row r="8767">
      <c r="A8767" s="3" t="n">
        <v>2025</v>
      </c>
      <c r="B8767" s="4" t="n">
        <v>24100</v>
      </c>
      <c r="C8767" s="4" t="n">
        <v>3464</v>
      </c>
      <c r="D8767" s="4" t="n">
        <v>1047.86</v>
      </c>
      <c r="E8767" s="5" t="n">
        <v>23</v>
      </c>
      <c r="F8767" s="3" t="inlineStr">
        <is>
          <t>유구읍</t>
        </is>
      </c>
      <c r="G8767" s="3" t="inlineStr">
        <is>
          <t>동해리</t>
        </is>
      </c>
      <c r="H8767" s="3" t="inlineStr">
        <is>
          <t>계획관리지역</t>
        </is>
      </c>
      <c r="I8767" s="3" t="inlineStr">
        <is>
          <t>답</t>
        </is>
      </c>
      <c r="J8767" s="3" t="inlineStr">
        <is>
          <t>유구읍</t>
        </is>
      </c>
    </row>
    <row r="8768">
      <c r="A8768" s="3" t="n">
        <v>2025</v>
      </c>
      <c r="B8768" s="4" t="n">
        <v>1380</v>
      </c>
      <c r="C8768" s="4" t="n">
        <v>154</v>
      </c>
      <c r="D8768" s="4" t="n">
        <v>46.585</v>
      </c>
      <c r="E8768" s="5" t="n">
        <v>29.6</v>
      </c>
      <c r="F8768" s="3" t="inlineStr">
        <is>
          <t>유구읍</t>
        </is>
      </c>
      <c r="G8768" s="3" t="inlineStr">
        <is>
          <t>동해리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유구읍</t>
        </is>
      </c>
    </row>
    <row r="8769">
      <c r="A8769" s="3" t="n">
        <v>2025</v>
      </c>
      <c r="B8769" s="4" t="n">
        <v>550</v>
      </c>
      <c r="C8769" s="4" t="n">
        <v>203</v>
      </c>
      <c r="D8769" s="4" t="n">
        <v>61.4075</v>
      </c>
      <c r="E8769" s="5" t="n">
        <v>9</v>
      </c>
      <c r="F8769" s="3" t="inlineStr">
        <is>
          <t>유구읍</t>
        </is>
      </c>
      <c r="G8769" s="3" t="inlineStr">
        <is>
          <t>탑곡리</t>
        </is>
      </c>
      <c r="H8769" s="3" t="inlineStr">
        <is>
          <t>계획관리지역</t>
        </is>
      </c>
      <c r="I8769" s="3" t="inlineStr">
        <is>
          <t>임야</t>
        </is>
      </c>
      <c r="J8769" s="3" t="inlineStr">
        <is>
          <t>유구읍</t>
        </is>
      </c>
    </row>
    <row r="8770">
      <c r="A8770" s="3" t="n">
        <v>2025</v>
      </c>
      <c r="B8770" s="4" t="n">
        <v>84</v>
      </c>
      <c r="C8770" s="4" t="n">
        <v>14</v>
      </c>
      <c r="D8770" s="4" t="n">
        <v>4.234999999999999</v>
      </c>
      <c r="E8770" s="5" t="n">
        <v>19.8</v>
      </c>
      <c r="F8770" s="3" t="inlineStr">
        <is>
          <t>유구읍</t>
        </is>
      </c>
      <c r="G8770" s="3" t="inlineStr">
        <is>
          <t>명곡리</t>
        </is>
      </c>
      <c r="H8770" s="3" t="inlineStr">
        <is>
          <t>농림지역</t>
        </is>
      </c>
      <c r="I8770" s="3" t="inlineStr">
        <is>
          <t>전</t>
        </is>
      </c>
      <c r="J8770" s="3" t="inlineStr">
        <is>
          <t>유구읍</t>
        </is>
      </c>
    </row>
    <row r="8771">
      <c r="A8771" s="3" t="n">
        <v>2025</v>
      </c>
      <c r="B8771" s="4" t="n">
        <v>8000</v>
      </c>
      <c r="C8771" s="4" t="n">
        <v>1547</v>
      </c>
      <c r="D8771" s="4" t="n">
        <v>467.9675</v>
      </c>
      <c r="E8771" s="5" t="n">
        <v>17.1</v>
      </c>
      <c r="F8771" s="3" t="inlineStr">
        <is>
          <t>유구읍</t>
        </is>
      </c>
      <c r="G8771" s="3" t="inlineStr">
        <is>
          <t>녹천리</t>
        </is>
      </c>
      <c r="H8771" s="3" t="inlineStr">
        <is>
          <t>계획관리지역</t>
        </is>
      </c>
      <c r="I8771" s="3" t="inlineStr">
        <is>
          <t>전</t>
        </is>
      </c>
      <c r="J8771" s="3" t="inlineStr">
        <is>
          <t>유구읍</t>
        </is>
      </c>
    </row>
    <row r="8772">
      <c r="A8772" s="3" t="n">
        <v>2025</v>
      </c>
      <c r="B8772" s="4" t="n">
        <v>37777</v>
      </c>
      <c r="C8772" s="4" t="n">
        <v>2650</v>
      </c>
      <c r="D8772" s="4" t="n">
        <v>801.625</v>
      </c>
      <c r="E8772" s="5" t="n">
        <v>47.1</v>
      </c>
      <c r="F8772" s="3" t="inlineStr">
        <is>
          <t>유구읍</t>
        </is>
      </c>
      <c r="G8772" s="3" t="inlineStr">
        <is>
          <t>백교리</t>
        </is>
      </c>
      <c r="H8772" s="3" t="inlineStr">
        <is>
          <t>자연녹지지역</t>
        </is>
      </c>
      <c r="I8772" s="3" t="inlineStr">
        <is>
          <t>공장용지</t>
        </is>
      </c>
      <c r="J8772" s="3" t="inlineStr">
        <is>
          <t>유구읍</t>
        </is>
      </c>
    </row>
    <row r="8773">
      <c r="A8773" s="3" t="n">
        <v>2025</v>
      </c>
      <c r="B8773" s="4" t="n">
        <v>33543</v>
      </c>
      <c r="C8773" s="4" t="n">
        <v>2353</v>
      </c>
      <c r="D8773" s="4" t="n">
        <v>711.7825</v>
      </c>
      <c r="E8773" s="5" t="n">
        <v>47.1</v>
      </c>
      <c r="F8773" s="3" t="inlineStr">
        <is>
          <t>유구읍</t>
        </is>
      </c>
      <c r="G8773" s="3" t="inlineStr">
        <is>
          <t>백교리</t>
        </is>
      </c>
      <c r="H8773" s="3" t="inlineStr">
        <is>
          <t>자연녹지지역</t>
        </is>
      </c>
      <c r="I8773" s="3" t="inlineStr">
        <is>
          <t>공장용지</t>
        </is>
      </c>
      <c r="J8773" s="3" t="inlineStr">
        <is>
          <t>유구읍</t>
        </is>
      </c>
    </row>
    <row r="8774">
      <c r="A8774" s="3" t="n">
        <v>2025</v>
      </c>
      <c r="B8774" s="4" t="n">
        <v>2081</v>
      </c>
      <c r="C8774" s="4" t="n">
        <v>146</v>
      </c>
      <c r="D8774" s="4" t="n">
        <v>44.165</v>
      </c>
      <c r="E8774" s="5" t="n">
        <v>47.1</v>
      </c>
      <c r="F8774" s="3" t="inlineStr">
        <is>
          <t>유구읍</t>
        </is>
      </c>
      <c r="G8774" s="3" t="inlineStr">
        <is>
          <t>백교리</t>
        </is>
      </c>
      <c r="H8774" s="3" t="inlineStr">
        <is>
          <t>자연녹지지역</t>
        </is>
      </c>
      <c r="I8774" s="3" t="inlineStr">
        <is>
          <t>공장용지</t>
        </is>
      </c>
      <c r="J8774" s="3" t="inlineStr">
        <is>
          <t>유구읍</t>
        </is>
      </c>
    </row>
    <row r="8775">
      <c r="A8775" s="3" t="n">
        <v>2025</v>
      </c>
      <c r="B8775" s="4" t="n">
        <v>18055</v>
      </c>
      <c r="C8775" s="4" t="n">
        <v>4814</v>
      </c>
      <c r="D8775" s="4" t="n">
        <v>1456.235</v>
      </c>
      <c r="E8775" s="5" t="n">
        <v>12.4</v>
      </c>
      <c r="F8775" s="3" t="inlineStr">
        <is>
          <t>유구읍</t>
        </is>
      </c>
      <c r="G8775" s="3" t="inlineStr">
        <is>
          <t>문금리</t>
        </is>
      </c>
      <c r="H8775" s="3" t="inlineStr">
        <is>
          <t>생산관리지역</t>
        </is>
      </c>
      <c r="I8775" s="3" t="inlineStr">
        <is>
          <t>전</t>
        </is>
      </c>
      <c r="J8775" s="3" t="inlineStr">
        <is>
          <t>유구읍</t>
        </is>
      </c>
    </row>
    <row r="8776">
      <c r="A8776" s="3" t="n">
        <v>2025</v>
      </c>
      <c r="B8776" s="4" t="n">
        <v>1760</v>
      </c>
      <c r="C8776" s="4" t="n">
        <v>102</v>
      </c>
      <c r="D8776" s="4" t="n">
        <v>30.855</v>
      </c>
      <c r="E8776" s="5" t="n">
        <v>57</v>
      </c>
      <c r="F8776" s="3" t="inlineStr">
        <is>
          <t>유구읍</t>
        </is>
      </c>
      <c r="G8776" s="3" t="inlineStr">
        <is>
          <t>신달리</t>
        </is>
      </c>
      <c r="H8776" s="3" t="inlineStr">
        <is>
          <t>계획관리지역</t>
        </is>
      </c>
      <c r="I8776" s="3" t="inlineStr">
        <is>
          <t>대</t>
        </is>
      </c>
      <c r="J8776" s="3" t="inlineStr">
        <is>
          <t>유구읍</t>
        </is>
      </c>
    </row>
    <row r="8777">
      <c r="A8777" s="3" t="n">
        <v>2025</v>
      </c>
      <c r="B8777" s="4" t="n">
        <v>298</v>
      </c>
      <c r="C8777" s="4" t="n">
        <v>173</v>
      </c>
      <c r="D8777" s="4" t="n">
        <v>52.3325</v>
      </c>
      <c r="E8777" s="5" t="n">
        <v>5.7</v>
      </c>
      <c r="F8777" s="3" t="inlineStr">
        <is>
          <t>유구읍</t>
        </is>
      </c>
      <c r="G8777" s="3" t="inlineStr">
        <is>
          <t>신영리</t>
        </is>
      </c>
      <c r="H8777" s="3" t="inlineStr">
        <is>
          <t>보전관리지역</t>
        </is>
      </c>
      <c r="I8777" s="3" t="inlineStr">
        <is>
          <t>답</t>
        </is>
      </c>
      <c r="J8777" s="3" t="inlineStr">
        <is>
          <t>유구읍</t>
        </is>
      </c>
    </row>
    <row r="8778">
      <c r="A8778" s="3" t="n">
        <v>2025</v>
      </c>
      <c r="B8778" s="4" t="n">
        <v>2383</v>
      </c>
      <c r="C8778" s="4" t="n">
        <v>516</v>
      </c>
      <c r="D8778" s="4" t="n">
        <v>156.09</v>
      </c>
      <c r="E8778" s="5" t="n">
        <v>15.3</v>
      </c>
      <c r="F8778" s="3" t="inlineStr">
        <is>
          <t>유구읍</t>
        </is>
      </c>
      <c r="G8778" s="3" t="inlineStr">
        <is>
          <t>신영리</t>
        </is>
      </c>
      <c r="H8778" s="3" t="inlineStr">
        <is>
          <t>보전관리지역</t>
        </is>
      </c>
      <c r="I8778" s="3" t="inlineStr">
        <is>
          <t>전</t>
        </is>
      </c>
      <c r="J8778" s="3" t="inlineStr">
        <is>
          <t>유구읍</t>
        </is>
      </c>
    </row>
    <row r="8779">
      <c r="A8779" s="3" t="n">
        <v>2025</v>
      </c>
      <c r="B8779" s="4" t="n">
        <v>2088</v>
      </c>
      <c r="C8779" s="4" t="n">
        <v>452</v>
      </c>
      <c r="D8779" s="4" t="n">
        <v>136.73</v>
      </c>
      <c r="E8779" s="5" t="n">
        <v>15.3</v>
      </c>
      <c r="F8779" s="3" t="inlineStr">
        <is>
          <t>유구읍</t>
        </is>
      </c>
      <c r="G8779" s="3" t="inlineStr">
        <is>
          <t>신영리</t>
        </is>
      </c>
      <c r="H8779" s="3" t="inlineStr">
        <is>
          <t>보전관리지역</t>
        </is>
      </c>
      <c r="I8779" s="3" t="inlineStr">
        <is>
          <t>전</t>
        </is>
      </c>
      <c r="J8779" s="3" t="inlineStr">
        <is>
          <t>유구읍</t>
        </is>
      </c>
    </row>
    <row r="8780">
      <c r="A8780" s="3" t="n">
        <v>2025</v>
      </c>
      <c r="B8780" s="4" t="n">
        <v>2171</v>
      </c>
      <c r="C8780" s="4" t="n">
        <v>1154</v>
      </c>
      <c r="D8780" s="4" t="n">
        <v>349.085</v>
      </c>
      <c r="E8780" s="5" t="n">
        <v>6.2</v>
      </c>
      <c r="F8780" s="3" t="inlineStr">
        <is>
          <t>유구읍</t>
        </is>
      </c>
      <c r="G8780" s="3" t="inlineStr">
        <is>
          <t>신영리</t>
        </is>
      </c>
      <c r="H8780" s="3" t="inlineStr">
        <is>
          <t>보전관리지역</t>
        </is>
      </c>
      <c r="I8780" s="3" t="inlineStr">
        <is>
          <t>답</t>
        </is>
      </c>
      <c r="J8780" s="3" t="inlineStr">
        <is>
          <t>유구읍</t>
        </is>
      </c>
    </row>
    <row r="8781">
      <c r="A8781" s="3" t="n">
        <v>2023</v>
      </c>
      <c r="B8781" s="4" t="n">
        <v>18000</v>
      </c>
      <c r="C8781" s="4" t="n">
        <v>393</v>
      </c>
      <c r="D8781" s="4" t="n">
        <v>118.8825</v>
      </c>
      <c r="E8781" s="5" t="n">
        <v>151.4</v>
      </c>
      <c r="F8781" s="3" t="inlineStr">
        <is>
          <t>오송읍</t>
        </is>
      </c>
      <c r="G8781" s="3" t="inlineStr">
        <is>
          <t>공북리</t>
        </is>
      </c>
      <c r="H8781" s="3" t="inlineStr">
        <is>
          <t>계획관리지역</t>
        </is>
      </c>
      <c r="I8781" s="3" t="inlineStr">
        <is>
          <t>답</t>
        </is>
      </c>
      <c r="J8781" s="3" t="inlineStr">
        <is>
          <t>오송읍</t>
        </is>
      </c>
    </row>
    <row r="8782">
      <c r="A8782" s="3" t="n">
        <v>2023</v>
      </c>
      <c r="B8782" s="4" t="n">
        <v>7220</v>
      </c>
      <c r="C8782" s="4" t="n">
        <v>147</v>
      </c>
      <c r="D8782" s="4" t="n">
        <v>44.4675</v>
      </c>
      <c r="E8782" s="5" t="n">
        <v>162.4</v>
      </c>
      <c r="F8782" s="3" t="inlineStr">
        <is>
          <t>오송읍</t>
        </is>
      </c>
      <c r="G8782" s="3" t="inlineStr">
        <is>
          <t>연제리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오송읍</t>
        </is>
      </c>
    </row>
    <row r="8783">
      <c r="A8783" s="3" t="n">
        <v>2026</v>
      </c>
      <c r="B8783" s="4" t="n">
        <v>10000</v>
      </c>
      <c r="C8783" s="4" t="n">
        <v>506</v>
      </c>
      <c r="D8783" s="4" t="n">
        <v>153.065</v>
      </c>
      <c r="E8783" s="5" t="n">
        <v>65.3</v>
      </c>
      <c r="F8783" s="3" t="inlineStr">
        <is>
          <t>강내면</t>
        </is>
      </c>
      <c r="G8783" s="3" t="inlineStr">
        <is>
          <t>탑연리</t>
        </is>
      </c>
      <c r="H8783" s="3" t="inlineStr">
        <is>
          <t>자연녹지지역</t>
        </is>
      </c>
      <c r="I8783" s="3" t="inlineStr">
        <is>
          <t>전</t>
        </is>
      </c>
      <c r="J8783" s="3" t="inlineStr">
        <is>
          <t>강내면</t>
        </is>
      </c>
    </row>
    <row r="8784">
      <c r="A8784" s="3" t="n">
        <v>2024</v>
      </c>
      <c r="B8784" s="4" t="n">
        <v>11000</v>
      </c>
      <c r="C8784" s="4" t="n">
        <v>377</v>
      </c>
      <c r="D8784" s="4" t="n">
        <v>114.0425</v>
      </c>
      <c r="E8784" s="5" t="n">
        <v>96.5</v>
      </c>
      <c r="F8784" s="3" t="inlineStr">
        <is>
          <t>강내면</t>
        </is>
      </c>
      <c r="G8784" s="3" t="inlineStr">
        <is>
          <t>학천리</t>
        </is>
      </c>
      <c r="H8784" s="3" t="inlineStr">
        <is>
          <t>자연녹지지역</t>
        </is>
      </c>
      <c r="I8784" s="3" t="inlineStr">
        <is>
          <t>대</t>
        </is>
      </c>
      <c r="J8784" s="3" t="inlineStr">
        <is>
          <t>강내면</t>
        </is>
      </c>
    </row>
    <row r="8785">
      <c r="A8785" s="3" t="n">
        <v>2024</v>
      </c>
      <c r="B8785" s="4" t="n">
        <v>16841</v>
      </c>
      <c r="C8785" s="4" t="n">
        <v>4960</v>
      </c>
      <c r="D8785" s="4" t="n">
        <v>1500.4</v>
      </c>
      <c r="E8785" s="5" t="n">
        <v>11.2</v>
      </c>
      <c r="F8785" s="3" t="inlineStr">
        <is>
          <t>강내면</t>
        </is>
      </c>
      <c r="G8785" s="3" t="inlineStr">
        <is>
          <t>저산리</t>
        </is>
      </c>
      <c r="H8785" s="3" t="inlineStr">
        <is>
          <t>보전관리지역</t>
        </is>
      </c>
      <c r="I8785" s="3" t="inlineStr">
        <is>
          <t>임야</t>
        </is>
      </c>
      <c r="J8785" s="3" t="inlineStr">
        <is>
          <t>강내면</t>
        </is>
      </c>
    </row>
    <row r="8786">
      <c r="A8786" s="3" t="n">
        <v>2025</v>
      </c>
      <c r="B8786" s="4" t="n">
        <v>144000</v>
      </c>
      <c r="C8786" s="4" t="n">
        <v>3967</v>
      </c>
      <c r="D8786" s="4" t="n">
        <v>1200.0175</v>
      </c>
      <c r="E8786" s="5" t="n">
        <v>120</v>
      </c>
      <c r="F8786" s="3" t="inlineStr">
        <is>
          <t>오송읍</t>
        </is>
      </c>
      <c r="G8786" s="3" t="inlineStr">
        <is>
          <t>궁평리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오송읍</t>
        </is>
      </c>
    </row>
    <row r="8787">
      <c r="A8787" s="3" t="n">
        <v>2025</v>
      </c>
      <c r="B8787" s="4" t="n">
        <v>500</v>
      </c>
      <c r="C8787" s="4" t="n">
        <v>10</v>
      </c>
      <c r="D8787" s="4" t="n">
        <v>3.025</v>
      </c>
      <c r="E8787" s="5" t="n">
        <v>165.3</v>
      </c>
      <c r="F8787" s="3" t="inlineStr">
        <is>
          <t>오송읍</t>
        </is>
      </c>
      <c r="G8787" s="3" t="inlineStr">
        <is>
          <t>봉산리</t>
        </is>
      </c>
      <c r="H8787" s="3" t="inlineStr">
        <is>
          <t>계획관리지역</t>
        </is>
      </c>
      <c r="I8787" s="3" t="inlineStr">
        <is>
          <t>답</t>
        </is>
      </c>
      <c r="J8787" s="3" t="inlineStr">
        <is>
          <t>오송읍</t>
        </is>
      </c>
    </row>
    <row r="8788">
      <c r="A8788" s="3" t="n">
        <v>2025</v>
      </c>
      <c r="B8788" s="4" t="n">
        <v>9000</v>
      </c>
      <c r="C8788" s="4" t="n">
        <v>744</v>
      </c>
      <c r="D8788" s="4" t="n">
        <v>225.06</v>
      </c>
      <c r="E8788" s="5" t="n">
        <v>40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전</t>
        </is>
      </c>
      <c r="J8788" s="3" t="inlineStr">
        <is>
          <t>오송읍</t>
        </is>
      </c>
    </row>
    <row r="8789">
      <c r="A8789" s="3" t="n">
        <v>2025</v>
      </c>
      <c r="B8789" s="4" t="n">
        <v>21587</v>
      </c>
      <c r="C8789" s="4" t="n">
        <v>2198</v>
      </c>
      <c r="D8789" s="4" t="n">
        <v>664.895</v>
      </c>
      <c r="E8789" s="5" t="n">
        <v>32.5</v>
      </c>
      <c r="F8789" s="3" t="inlineStr">
        <is>
          <t>오송읍</t>
        </is>
      </c>
      <c r="G8789" s="3" t="inlineStr">
        <is>
          <t>동평리</t>
        </is>
      </c>
      <c r="H8789" s="3" t="inlineStr">
        <is>
          <t>농림지역</t>
        </is>
      </c>
      <c r="I8789" s="3" t="inlineStr">
        <is>
          <t>답</t>
        </is>
      </c>
      <c r="J8789" s="3" t="inlineStr">
        <is>
          <t>오송읍</t>
        </is>
      </c>
    </row>
    <row r="8790">
      <c r="A8790" s="3" t="n">
        <v>2025</v>
      </c>
      <c r="B8790" s="4" t="n">
        <v>3413</v>
      </c>
      <c r="C8790" s="4" t="n">
        <v>347</v>
      </c>
      <c r="D8790" s="4" t="n">
        <v>104.9675</v>
      </c>
      <c r="E8790" s="5" t="n">
        <v>32.5</v>
      </c>
      <c r="F8790" s="3" t="inlineStr">
        <is>
          <t>오송읍</t>
        </is>
      </c>
      <c r="G8790" s="3" t="inlineStr">
        <is>
          <t>동평리</t>
        </is>
      </c>
      <c r="H8790" s="3" t="inlineStr">
        <is>
          <t>농림지역</t>
        </is>
      </c>
      <c r="I8790" s="3" t="inlineStr">
        <is>
          <t>답</t>
        </is>
      </c>
      <c r="J8790" s="3" t="inlineStr">
        <is>
          <t>오송읍</t>
        </is>
      </c>
    </row>
    <row r="8791">
      <c r="A8791" s="3" t="n">
        <v>2025</v>
      </c>
      <c r="B8791" s="4" t="n">
        <v>460</v>
      </c>
      <c r="C8791" s="4" t="n">
        <v>75</v>
      </c>
      <c r="D8791" s="4" t="n">
        <v>22.6875</v>
      </c>
      <c r="E8791" s="5" t="n">
        <v>20.3</v>
      </c>
      <c r="F8791" s="3" t="inlineStr">
        <is>
          <t>강내면</t>
        </is>
      </c>
      <c r="G8791" s="3" t="inlineStr">
        <is>
          <t>다락리</t>
        </is>
      </c>
      <c r="H8791" s="3" t="inlineStr">
        <is>
          <t>계획관리지역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2025</v>
      </c>
      <c r="B8792" s="4" t="n">
        <v>1600</v>
      </c>
      <c r="C8792" s="4" t="n">
        <v>265</v>
      </c>
      <c r="D8792" s="4" t="n">
        <v>80.16249999999999</v>
      </c>
      <c r="E8792" s="5" t="n">
        <v>20</v>
      </c>
      <c r="F8792" s="3" t="inlineStr">
        <is>
          <t>강내면</t>
        </is>
      </c>
      <c r="G8792" s="3" t="inlineStr">
        <is>
          <t>다락리</t>
        </is>
      </c>
      <c r="H8792" s="3" t="inlineStr">
        <is>
          <t>계획관리지역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2025</v>
      </c>
      <c r="B8793" s="4" t="n">
        <v>28500</v>
      </c>
      <c r="C8793" s="4" t="n">
        <v>2658</v>
      </c>
      <c r="D8793" s="4" t="n">
        <v>804.045</v>
      </c>
      <c r="E8793" s="5" t="n">
        <v>35.4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농림지역</t>
        </is>
      </c>
      <c r="I8793" s="3" t="inlineStr">
        <is>
          <t>답</t>
        </is>
      </c>
      <c r="J8793" s="3" t="inlineStr">
        <is>
          <t>오송읍</t>
        </is>
      </c>
    </row>
    <row r="8794">
      <c r="A8794" s="3" t="n">
        <v>2025</v>
      </c>
      <c r="B8794" s="4" t="n">
        <v>2000</v>
      </c>
      <c r="C8794" s="4" t="n">
        <v>51</v>
      </c>
      <c r="D8794" s="4" t="n">
        <v>15.4275</v>
      </c>
      <c r="E8794" s="5" t="n">
        <v>129.6</v>
      </c>
      <c r="F8794" s="3" t="inlineStr">
        <is>
          <t>오송읍</t>
        </is>
      </c>
      <c r="G8794" s="3" t="inlineStr">
        <is>
          <t>연제리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2025</v>
      </c>
      <c r="B8795" s="4" t="n">
        <v>24000</v>
      </c>
      <c r="C8795" s="4" t="n">
        <v>1279</v>
      </c>
      <c r="D8795" s="4" t="n">
        <v>386.8975</v>
      </c>
      <c r="E8795" s="5" t="n">
        <v>62</v>
      </c>
      <c r="F8795" s="3" t="inlineStr">
        <is>
          <t>오송읍</t>
        </is>
      </c>
      <c r="G8795" s="3" t="inlineStr">
        <is>
          <t>서평리</t>
        </is>
      </c>
      <c r="H8795" s="3" t="inlineStr">
        <is>
          <t>농림지역</t>
        </is>
      </c>
      <c r="I8795" s="3" t="inlineStr">
        <is>
          <t>답</t>
        </is>
      </c>
      <c r="J8795" s="3" t="inlineStr">
        <is>
          <t>오송읍</t>
        </is>
      </c>
    </row>
    <row r="8796">
      <c r="A8796" s="3" t="n">
        <v>2025</v>
      </c>
      <c r="B8796" s="4" t="n">
        <v>47000</v>
      </c>
      <c r="C8796" s="4" t="n">
        <v>3411</v>
      </c>
      <c r="D8796" s="4" t="n">
        <v>1031.8275</v>
      </c>
      <c r="E8796" s="5" t="n">
        <v>45.6</v>
      </c>
      <c r="F8796" s="3" t="inlineStr">
        <is>
          <t>강내면</t>
        </is>
      </c>
      <c r="G8796" s="3" t="inlineStr">
        <is>
          <t>궁현리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강내면</t>
        </is>
      </c>
    </row>
    <row r="8797">
      <c r="A8797" s="3" t="n">
        <v>2025</v>
      </c>
      <c r="B8797" s="4" t="n">
        <v>1500</v>
      </c>
      <c r="C8797" s="4" t="n">
        <v>2075</v>
      </c>
      <c r="D8797" s="4" t="n">
        <v>627.6875</v>
      </c>
      <c r="E8797" s="5" t="n">
        <v>2.4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임야</t>
        </is>
      </c>
      <c r="J8797" s="3" t="inlineStr">
        <is>
          <t>강내면</t>
        </is>
      </c>
    </row>
    <row r="8798">
      <c r="A8798" s="3" t="n">
        <v>2025</v>
      </c>
      <c r="B8798" s="4" t="n">
        <v>4364</v>
      </c>
      <c r="C8798" s="4" t="n">
        <v>608</v>
      </c>
      <c r="D8798" s="4" t="n">
        <v>183.92</v>
      </c>
      <c r="E8798" s="5" t="n">
        <v>23.7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2025</v>
      </c>
      <c r="B8799" s="4" t="n">
        <v>11447</v>
      </c>
      <c r="C8799" s="4" t="n">
        <v>1595</v>
      </c>
      <c r="D8799" s="4" t="n">
        <v>482.4875</v>
      </c>
      <c r="E8799" s="5" t="n">
        <v>23.7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강내면</t>
        </is>
      </c>
    </row>
    <row r="8800">
      <c r="A8800" s="3" t="n">
        <v>2025</v>
      </c>
      <c r="B8800" s="4" t="n">
        <v>14189</v>
      </c>
      <c r="C8800" s="4" t="n">
        <v>1977</v>
      </c>
      <c r="D8800" s="4" t="n">
        <v>598.0425</v>
      </c>
      <c r="E8800" s="5" t="n">
        <v>23.7</v>
      </c>
      <c r="F8800" s="3" t="inlineStr">
        <is>
          <t>강내면</t>
        </is>
      </c>
      <c r="G8800" s="3" t="inlineStr">
        <is>
          <t>산단리</t>
        </is>
      </c>
      <c r="H8800" s="3" t="inlineStr">
        <is>
          <t>계획관리지역</t>
        </is>
      </c>
      <c r="I8800" s="3" t="inlineStr">
        <is>
          <t>답</t>
        </is>
      </c>
      <c r="J8800" s="3" t="inlineStr">
        <is>
          <t>강내면</t>
        </is>
      </c>
    </row>
    <row r="8801">
      <c r="A8801" s="3" t="n">
        <v>2025</v>
      </c>
      <c r="B8801" s="4" t="n">
        <v>18000</v>
      </c>
      <c r="C8801" s="4" t="n">
        <v>3319</v>
      </c>
      <c r="D8801" s="4" t="n">
        <v>1003.9975</v>
      </c>
      <c r="E8801" s="5" t="n">
        <v>17.9</v>
      </c>
      <c r="F8801" s="3" t="inlineStr">
        <is>
          <t>강내면</t>
        </is>
      </c>
      <c r="G8801" s="3" t="inlineStr">
        <is>
          <t>황탄리</t>
        </is>
      </c>
      <c r="H8801" s="3" t="inlineStr">
        <is>
          <t>농림지역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19100</v>
      </c>
      <c r="C8802" s="4" t="n">
        <v>521</v>
      </c>
      <c r="D8802" s="4" t="n">
        <v>157.6025</v>
      </c>
      <c r="E8802" s="5" t="n">
        <v>121.2</v>
      </c>
      <c r="F8802" s="3" t="inlineStr">
        <is>
          <t>오송읍</t>
        </is>
      </c>
      <c r="G8802" s="3" t="inlineStr">
        <is>
          <t>상봉리</t>
        </is>
      </c>
      <c r="H8802" s="3" t="inlineStr">
        <is>
          <t>생산관리지역</t>
        </is>
      </c>
      <c r="I8802" s="3" t="inlineStr">
        <is>
          <t>전</t>
        </is>
      </c>
      <c r="J8802" s="3" t="inlineStr">
        <is>
          <t>오송읍</t>
        </is>
      </c>
    </row>
    <row r="8803">
      <c r="A8803" s="3" t="n">
        <v>2023</v>
      </c>
      <c r="B8803" s="4" t="n">
        <v>1900</v>
      </c>
      <c r="C8803" s="4" t="n">
        <v>126</v>
      </c>
      <c r="D8803" s="4" t="n">
        <v>38.115</v>
      </c>
      <c r="E8803" s="5" t="n">
        <v>49.8</v>
      </c>
      <c r="F8803" s="3" t="inlineStr">
        <is>
          <t>오송읍</t>
        </is>
      </c>
      <c r="G8803" s="3" t="inlineStr">
        <is>
          <t>상봉리</t>
        </is>
      </c>
      <c r="H8803" s="3" t="inlineStr">
        <is>
          <t>생산관리지역</t>
        </is>
      </c>
      <c r="I8803" s="3" t="inlineStr">
        <is>
          <t>도로</t>
        </is>
      </c>
      <c r="J8803" s="3" t="inlineStr">
        <is>
          <t>오송읍</t>
        </is>
      </c>
    </row>
    <row r="8804">
      <c r="A8804" s="3" t="n">
        <v>2023</v>
      </c>
      <c r="B8804" s="4" t="n">
        <v>53207</v>
      </c>
      <c r="C8804" s="4" t="n">
        <v>2388.1</v>
      </c>
      <c r="D8804" s="4" t="n">
        <v>722.4002499999999</v>
      </c>
      <c r="E8804" s="5" t="n">
        <v>73.7</v>
      </c>
      <c r="F8804" s="3" t="inlineStr">
        <is>
          <t>오송읍</t>
        </is>
      </c>
      <c r="G8804" s="3" t="inlineStr">
        <is>
          <t>연제리</t>
        </is>
      </c>
      <c r="H8804" s="3" t="inlineStr">
        <is>
          <t>준공업지역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2000</v>
      </c>
      <c r="C8805" s="4" t="n">
        <v>203.2</v>
      </c>
      <c r="D8805" s="4" t="n">
        <v>61.468</v>
      </c>
      <c r="E8805" s="5" t="n">
        <v>32.5</v>
      </c>
      <c r="F8805" s="3" t="inlineStr">
        <is>
          <t>강내면</t>
        </is>
      </c>
      <c r="G8805" s="3" t="inlineStr">
        <is>
          <t>사곡리</t>
        </is>
      </c>
      <c r="H8805" s="3" t="inlineStr">
        <is>
          <t>보전관리지역</t>
        </is>
      </c>
      <c r="I8805" s="3" t="inlineStr">
        <is>
          <t>도로</t>
        </is>
      </c>
      <c r="J8805" s="3" t="inlineStr">
        <is>
          <t>강내면</t>
        </is>
      </c>
    </row>
    <row r="8806">
      <c r="A8806" s="3" t="n">
        <v>2023</v>
      </c>
      <c r="B8806" s="4" t="n">
        <v>500</v>
      </c>
      <c r="C8806" s="4" t="n">
        <v>165</v>
      </c>
      <c r="D8806" s="4" t="n">
        <v>49.9125</v>
      </c>
      <c r="E8806" s="5" t="n">
        <v>10</v>
      </c>
      <c r="F8806" s="3" t="inlineStr">
        <is>
          <t>강내면</t>
        </is>
      </c>
      <c r="G8806" s="3" t="inlineStr">
        <is>
          <t>사곡리</t>
        </is>
      </c>
      <c r="H8806" s="3" t="inlineStr">
        <is>
          <t>보전관리지역</t>
        </is>
      </c>
      <c r="I8806" s="3" t="inlineStr">
        <is>
          <t>도로</t>
        </is>
      </c>
      <c r="J8806" s="3" t="inlineStr">
        <is>
          <t>강내면</t>
        </is>
      </c>
    </row>
    <row r="8807">
      <c r="A8807" s="3" t="n">
        <v>2023</v>
      </c>
      <c r="B8807" s="4" t="n">
        <v>85988</v>
      </c>
      <c r="C8807" s="4" t="n">
        <v>1097</v>
      </c>
      <c r="D8807" s="4" t="n">
        <v>331.8425</v>
      </c>
      <c r="E8807" s="5" t="n">
        <v>259.1</v>
      </c>
      <c r="F8807" s="3" t="inlineStr">
        <is>
          <t>강내면</t>
        </is>
      </c>
      <c r="G8807" s="3" t="inlineStr">
        <is>
          <t>월곡리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강내면</t>
        </is>
      </c>
    </row>
    <row r="8808">
      <c r="A8808" s="3" t="n">
        <v>2023</v>
      </c>
      <c r="B8808" s="4" t="n">
        <v>2579</v>
      </c>
      <c r="C8808" s="4" t="n">
        <v>33</v>
      </c>
      <c r="D8808" s="4" t="n">
        <v>9.9825</v>
      </c>
      <c r="E8808" s="5" t="n">
        <v>258.4</v>
      </c>
      <c r="F8808" s="3" t="inlineStr">
        <is>
          <t>강내면</t>
        </is>
      </c>
      <c r="G8808" s="3" t="inlineStr">
        <is>
          <t>월곡리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강내면</t>
        </is>
      </c>
    </row>
    <row r="8809">
      <c r="A8809" s="3" t="n">
        <v>2023</v>
      </c>
      <c r="B8809" s="4" t="n">
        <v>21756</v>
      </c>
      <c r="C8809" s="4" t="n">
        <v>279</v>
      </c>
      <c r="D8809" s="4" t="n">
        <v>84.39749999999999</v>
      </c>
      <c r="E8809" s="5" t="n">
        <v>257.8</v>
      </c>
      <c r="F8809" s="3" t="inlineStr">
        <is>
          <t>강내면</t>
        </is>
      </c>
      <c r="G8809" s="3" t="inlineStr">
        <is>
          <t>월곡리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강내면</t>
        </is>
      </c>
    </row>
    <row r="8810">
      <c r="A8810" s="3" t="n">
        <v>2023</v>
      </c>
      <c r="B8810" s="4" t="n">
        <v>26677</v>
      </c>
      <c r="C8810" s="4" t="n">
        <v>340</v>
      </c>
      <c r="D8810" s="4" t="n">
        <v>102.85</v>
      </c>
      <c r="E8810" s="5" t="n">
        <v>259.4</v>
      </c>
      <c r="F8810" s="3" t="inlineStr">
        <is>
          <t>강내면</t>
        </is>
      </c>
      <c r="G8810" s="3" t="inlineStr">
        <is>
          <t>월곡리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강내면</t>
        </is>
      </c>
    </row>
    <row r="8811">
      <c r="A8811" s="3" t="n">
        <v>2023</v>
      </c>
      <c r="B8811" s="4" t="n">
        <v>12000</v>
      </c>
      <c r="C8811" s="4" t="n">
        <v>152</v>
      </c>
      <c r="D8811" s="4" t="n">
        <v>45.98</v>
      </c>
      <c r="E8811" s="5" t="n">
        <v>261</v>
      </c>
      <c r="F8811" s="3" t="inlineStr">
        <is>
          <t>오송읍</t>
        </is>
      </c>
      <c r="G8811" s="3" t="inlineStr">
        <is>
          <t>정중리</t>
        </is>
      </c>
      <c r="H8811" s="3" t="inlineStr">
        <is>
          <t>계획관리지역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48000</v>
      </c>
      <c r="C8812" s="4" t="n">
        <v>1879</v>
      </c>
      <c r="D8812" s="4" t="n">
        <v>568.3975</v>
      </c>
      <c r="E8812" s="5" t="n">
        <v>84.40000000000001</v>
      </c>
      <c r="F8812" s="3" t="inlineStr">
        <is>
          <t>강내면</t>
        </is>
      </c>
      <c r="G8812" s="3" t="inlineStr">
        <is>
          <t>다락리</t>
        </is>
      </c>
      <c r="H8812" s="3" t="inlineStr">
        <is>
          <t>계획관리지역</t>
        </is>
      </c>
      <c r="I8812" s="3" t="inlineStr">
        <is>
          <t>임야</t>
        </is>
      </c>
      <c r="J8812" s="3" t="inlineStr">
        <is>
          <t>강내면</t>
        </is>
      </c>
    </row>
    <row r="8813">
      <c r="A8813" s="3" t="n">
        <v>2023</v>
      </c>
      <c r="B8813" s="4" t="n">
        <v>13200</v>
      </c>
      <c r="C8813" s="4" t="n">
        <v>145</v>
      </c>
      <c r="D8813" s="4" t="n">
        <v>43.8625</v>
      </c>
      <c r="E8813" s="5" t="n">
        <v>300.9</v>
      </c>
      <c r="F8813" s="3" t="inlineStr">
        <is>
          <t>오송읍</t>
        </is>
      </c>
      <c r="G8813" s="3" t="inlineStr">
        <is>
          <t>정중리</t>
        </is>
      </c>
      <c r="H8813" s="3" t="inlineStr">
        <is>
          <t>계획관리지역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2023</v>
      </c>
      <c r="B8814" s="4" t="n">
        <v>10000</v>
      </c>
      <c r="C8814" s="4" t="n">
        <v>152</v>
      </c>
      <c r="D8814" s="4" t="n">
        <v>45.98</v>
      </c>
      <c r="E8814" s="5" t="n">
        <v>217.5</v>
      </c>
      <c r="F8814" s="3" t="inlineStr">
        <is>
          <t>오송읍</t>
        </is>
      </c>
      <c r="G8814" s="3" t="inlineStr">
        <is>
          <t>정중리</t>
        </is>
      </c>
      <c r="H8814" s="3" t="inlineStr">
        <is>
          <t>계획관리지역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19400</v>
      </c>
      <c r="C8815" s="4" t="n">
        <v>300</v>
      </c>
      <c r="D8815" s="4" t="n">
        <v>90.75</v>
      </c>
      <c r="E8815" s="5" t="n">
        <v>213.8</v>
      </c>
      <c r="F8815" s="3" t="inlineStr">
        <is>
          <t>오송읍</t>
        </is>
      </c>
      <c r="G8815" s="3" t="inlineStr">
        <is>
          <t>궁평리</t>
        </is>
      </c>
      <c r="H8815" s="3" t="inlineStr">
        <is>
          <t>제1종일반주거지역</t>
        </is>
      </c>
      <c r="I8815" s="3" t="inlineStr">
        <is>
          <t>창고용지</t>
        </is>
      </c>
      <c r="J8815" s="3" t="inlineStr">
        <is>
          <t>오송읍</t>
        </is>
      </c>
    </row>
    <row r="8816">
      <c r="A8816" s="3" t="n">
        <v>2023</v>
      </c>
      <c r="B8816" s="4" t="n">
        <v>88500</v>
      </c>
      <c r="C8816" s="4" t="n">
        <v>2135</v>
      </c>
      <c r="D8816" s="4" t="n">
        <v>645.8375</v>
      </c>
      <c r="E8816" s="5" t="n">
        <v>137</v>
      </c>
      <c r="F8816" s="3" t="inlineStr">
        <is>
          <t>강내면</t>
        </is>
      </c>
      <c r="G8816" s="3" t="inlineStr">
        <is>
          <t>다락리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강내면</t>
        </is>
      </c>
    </row>
    <row r="8817">
      <c r="A8817" s="3" t="n">
        <v>2026</v>
      </c>
      <c r="B8817" s="4" t="n">
        <v>200000</v>
      </c>
      <c r="C8817" s="4" t="n">
        <v>558.8</v>
      </c>
      <c r="D8817" s="4" t="n">
        <v>169.037</v>
      </c>
      <c r="E8817" s="5" t="n">
        <v>1183.2</v>
      </c>
      <c r="F8817" s="3" t="inlineStr">
        <is>
          <t>오송읍</t>
        </is>
      </c>
      <c r="G8817" s="3" t="inlineStr">
        <is>
          <t>정중리</t>
        </is>
      </c>
      <c r="H8817" s="3" t="inlineStr">
        <is>
          <t>준공업지역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2026</v>
      </c>
      <c r="B8818" s="4" t="n">
        <v>33000</v>
      </c>
      <c r="C8818" s="4" t="n">
        <v>266.7</v>
      </c>
      <c r="D8818" s="4" t="n">
        <v>80.67675</v>
      </c>
      <c r="E8818" s="5" t="n">
        <v>409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제1종일반주거지역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2024</v>
      </c>
      <c r="B8819" s="4" t="n">
        <v>300</v>
      </c>
      <c r="C8819" s="4" t="n">
        <v>22</v>
      </c>
      <c r="D8819" s="4" t="n">
        <v>6.654999999999999</v>
      </c>
      <c r="E8819" s="5" t="n">
        <v>45.1</v>
      </c>
      <c r="F8819" s="3" t="inlineStr">
        <is>
          <t>유구읍</t>
        </is>
      </c>
      <c r="G8819" s="3" t="inlineStr">
        <is>
          <t>유구리</t>
        </is>
      </c>
      <c r="H8819" s="3" t="inlineStr">
        <is>
          <t>자연녹지지역</t>
        </is>
      </c>
      <c r="I8819" s="3" t="inlineStr">
        <is>
          <t>대</t>
        </is>
      </c>
      <c r="J8819" s="3" t="inlineStr">
        <is>
          <t>유구읍</t>
        </is>
      </c>
    </row>
    <row r="8820">
      <c r="A8820" s="3" t="n">
        <v>2024</v>
      </c>
      <c r="B8820" s="4" t="n">
        <v>7500</v>
      </c>
      <c r="C8820" s="4" t="n">
        <v>1342</v>
      </c>
      <c r="D8820" s="4" t="n">
        <v>405.955</v>
      </c>
      <c r="E8820" s="5" t="n">
        <v>18.5</v>
      </c>
      <c r="F8820" s="3" t="inlineStr">
        <is>
          <t>유구읍</t>
        </is>
      </c>
      <c r="G8820" s="3" t="inlineStr">
        <is>
          <t>동해리</t>
        </is>
      </c>
      <c r="H8820" s="3" t="inlineStr">
        <is>
          <t>계획관리지역</t>
        </is>
      </c>
      <c r="I8820" s="3" t="inlineStr">
        <is>
          <t>답</t>
        </is>
      </c>
      <c r="J8820" s="3" t="inlineStr">
        <is>
          <t>유구읍</t>
        </is>
      </c>
    </row>
    <row r="8821">
      <c r="A8821" s="3" t="n">
        <v>2024</v>
      </c>
      <c r="B8821" s="4" t="n">
        <v>11000</v>
      </c>
      <c r="C8821" s="4" t="n">
        <v>11356</v>
      </c>
      <c r="D8821" s="4" t="n">
        <v>3435.19</v>
      </c>
      <c r="E8821" s="5" t="n">
        <v>3.2</v>
      </c>
      <c r="F8821" s="3" t="inlineStr">
        <is>
          <t>유구읍</t>
        </is>
      </c>
      <c r="G8821" s="3" t="inlineStr">
        <is>
          <t>녹천리</t>
        </is>
      </c>
      <c r="H8821" s="3" t="inlineStr">
        <is>
          <t>계획관리지역</t>
        </is>
      </c>
      <c r="I8821" s="3" t="inlineStr">
        <is>
          <t>임야</t>
        </is>
      </c>
      <c r="J8821" s="3" t="inlineStr">
        <is>
          <t>유구읍</t>
        </is>
      </c>
    </row>
    <row r="8822">
      <c r="A8822" s="3" t="n">
        <v>2024</v>
      </c>
      <c r="B8822" s="4" t="n">
        <v>3075</v>
      </c>
      <c r="C8822" s="4" t="n">
        <v>1045</v>
      </c>
      <c r="D8822" s="4" t="n">
        <v>316.1125</v>
      </c>
      <c r="E8822" s="5" t="n">
        <v>9.699999999999999</v>
      </c>
      <c r="F8822" s="3" t="inlineStr">
        <is>
          <t>유구읍</t>
        </is>
      </c>
      <c r="G8822" s="3" t="inlineStr">
        <is>
          <t>만천리</t>
        </is>
      </c>
      <c r="H8822" s="3" t="inlineStr">
        <is>
          <t>농림지역</t>
        </is>
      </c>
      <c r="I8822" s="3" t="inlineStr">
        <is>
          <t>답</t>
        </is>
      </c>
      <c r="J8822" s="3" t="inlineStr">
        <is>
          <t>유구읍</t>
        </is>
      </c>
    </row>
    <row r="8823">
      <c r="A8823" s="3" t="n">
        <v>2024</v>
      </c>
      <c r="B8823" s="4" t="n">
        <v>884</v>
      </c>
      <c r="C8823" s="4" t="n">
        <v>258</v>
      </c>
      <c r="D8823" s="4" t="n">
        <v>78.045</v>
      </c>
      <c r="E8823" s="5" t="n">
        <v>11.3</v>
      </c>
      <c r="F8823" s="3" t="inlineStr">
        <is>
          <t>유구읍</t>
        </is>
      </c>
      <c r="G8823" s="3" t="inlineStr">
        <is>
          <t>만천리</t>
        </is>
      </c>
      <c r="H8823" s="3" t="inlineStr">
        <is>
          <t>농림지역</t>
        </is>
      </c>
      <c r="I8823" s="3" t="inlineStr">
        <is>
          <t>답</t>
        </is>
      </c>
      <c r="J8823" s="3" t="inlineStr">
        <is>
          <t>유구읍</t>
        </is>
      </c>
    </row>
    <row r="8824">
      <c r="A8824" s="3" t="n">
        <v>2024</v>
      </c>
      <c r="B8824" s="4" t="n">
        <v>2706</v>
      </c>
      <c r="C8824" s="4" t="n">
        <v>790</v>
      </c>
      <c r="D8824" s="4" t="n">
        <v>238.975</v>
      </c>
      <c r="E8824" s="5" t="n">
        <v>11.3</v>
      </c>
      <c r="F8824" s="3" t="inlineStr">
        <is>
          <t>유구읍</t>
        </is>
      </c>
      <c r="G8824" s="3" t="inlineStr">
        <is>
          <t>만천리</t>
        </is>
      </c>
      <c r="H8824" s="3" t="inlineStr">
        <is>
          <t>농림지역</t>
        </is>
      </c>
      <c r="I8824" s="3" t="inlineStr">
        <is>
          <t>답</t>
        </is>
      </c>
      <c r="J8824" s="3" t="inlineStr">
        <is>
          <t>유구읍</t>
        </is>
      </c>
    </row>
    <row r="8825">
      <c r="A8825" s="3" t="n">
        <v>2024</v>
      </c>
      <c r="B8825" s="4" t="n">
        <v>10035</v>
      </c>
      <c r="C8825" s="4" t="n">
        <v>2929</v>
      </c>
      <c r="D8825" s="4" t="n">
        <v>886.0224999999999</v>
      </c>
      <c r="E8825" s="5" t="n">
        <v>11.3</v>
      </c>
      <c r="F8825" s="3" t="inlineStr">
        <is>
          <t>유구읍</t>
        </is>
      </c>
      <c r="G8825" s="3" t="inlineStr">
        <is>
          <t>만천리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유구읍</t>
        </is>
      </c>
    </row>
    <row r="8826">
      <c r="A8826" s="3" t="n">
        <v>2024</v>
      </c>
      <c r="B8826" s="4" t="n">
        <v>34436</v>
      </c>
      <c r="C8826" s="4" t="n">
        <v>140554</v>
      </c>
      <c r="D8826" s="4" t="n">
        <v>42517.585</v>
      </c>
      <c r="E8826" s="5" t="n">
        <v>0.8</v>
      </c>
      <c r="F8826" s="3" t="inlineStr">
        <is>
          <t>유구읍</t>
        </is>
      </c>
      <c r="G8826" s="3" t="inlineStr">
        <is>
          <t>탑곡리</t>
        </is>
      </c>
      <c r="H8826" s="3" t="inlineStr">
        <is>
          <t>농림지역</t>
        </is>
      </c>
      <c r="I8826" s="3" t="inlineStr">
        <is>
          <t>임야</t>
        </is>
      </c>
      <c r="J8826" s="3" t="inlineStr">
        <is>
          <t>유구읍</t>
        </is>
      </c>
    </row>
    <row r="8827">
      <c r="A8827" s="3" t="n">
        <v>2024</v>
      </c>
      <c r="B8827" s="4" t="n">
        <v>35192</v>
      </c>
      <c r="C8827" s="4" t="n">
        <v>138008</v>
      </c>
      <c r="D8827" s="4" t="n">
        <v>41747.42</v>
      </c>
      <c r="E8827" s="5" t="n">
        <v>0.8</v>
      </c>
      <c r="F8827" s="3" t="inlineStr">
        <is>
          <t>유구읍</t>
        </is>
      </c>
      <c r="G8827" s="3" t="inlineStr">
        <is>
          <t>탑곡리</t>
        </is>
      </c>
      <c r="H8827" s="3" t="inlineStr">
        <is>
          <t>농림지역</t>
        </is>
      </c>
      <c r="I8827" s="3" t="inlineStr">
        <is>
          <t>임야</t>
        </is>
      </c>
      <c r="J8827" s="3" t="inlineStr">
        <is>
          <t>유구읍</t>
        </is>
      </c>
    </row>
    <row r="8828">
      <c r="A8828" s="3" t="n">
        <v>2024</v>
      </c>
      <c r="B8828" s="4" t="n">
        <v>15085</v>
      </c>
      <c r="C8828" s="4" t="n">
        <v>73587</v>
      </c>
      <c r="D8828" s="4" t="n">
        <v>22260.0675</v>
      </c>
      <c r="E8828" s="5" t="n">
        <v>0.7</v>
      </c>
      <c r="F8828" s="3" t="inlineStr">
        <is>
          <t>유구읍</t>
        </is>
      </c>
      <c r="G8828" s="3" t="inlineStr">
        <is>
          <t>탑곡리</t>
        </is>
      </c>
      <c r="H8828" s="3" t="inlineStr">
        <is>
          <t>농림지역</t>
        </is>
      </c>
      <c r="I8828" s="3" t="inlineStr">
        <is>
          <t>임야</t>
        </is>
      </c>
      <c r="J8828" s="3" t="inlineStr">
        <is>
          <t>유구읍</t>
        </is>
      </c>
    </row>
    <row r="8829">
      <c r="A8829" s="3" t="n">
        <v>2024</v>
      </c>
      <c r="B8829" s="4" t="n">
        <v>15935</v>
      </c>
      <c r="C8829" s="4" t="n">
        <v>81719</v>
      </c>
      <c r="D8829" s="4" t="n">
        <v>24719.9975</v>
      </c>
      <c r="E8829" s="5" t="n">
        <v>0.6</v>
      </c>
      <c r="F8829" s="3" t="inlineStr">
        <is>
          <t>유구읍</t>
        </is>
      </c>
      <c r="G8829" s="3" t="inlineStr">
        <is>
          <t>탑곡리</t>
        </is>
      </c>
      <c r="H8829" s="3" t="inlineStr">
        <is>
          <t>농림지역</t>
        </is>
      </c>
      <c r="I8829" s="3" t="inlineStr">
        <is>
          <t>임야</t>
        </is>
      </c>
      <c r="J8829" s="3" t="inlineStr">
        <is>
          <t>유구읍</t>
        </is>
      </c>
    </row>
    <row r="8830">
      <c r="A8830" s="3" t="n">
        <v>2024</v>
      </c>
      <c r="B8830" s="4" t="n">
        <v>1250</v>
      </c>
      <c r="C8830" s="4" t="n">
        <v>281</v>
      </c>
      <c r="D8830" s="4" t="n">
        <v>85.0025</v>
      </c>
      <c r="E8830" s="5" t="n">
        <v>14.7</v>
      </c>
      <c r="F8830" s="3" t="inlineStr">
        <is>
          <t>유구읍</t>
        </is>
      </c>
      <c r="G8830" s="3" t="inlineStr">
        <is>
          <t>문금리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유구읍</t>
        </is>
      </c>
    </row>
    <row r="8831">
      <c r="A8831" s="3" t="n">
        <v>2024</v>
      </c>
      <c r="B8831" s="4" t="n">
        <v>1850</v>
      </c>
      <c r="C8831" s="4" t="n">
        <v>407</v>
      </c>
      <c r="D8831" s="4" t="n">
        <v>123.1175</v>
      </c>
      <c r="E8831" s="5" t="n">
        <v>15</v>
      </c>
      <c r="F8831" s="3" t="inlineStr">
        <is>
          <t>유구읍</t>
        </is>
      </c>
      <c r="G8831" s="3" t="inlineStr">
        <is>
          <t>문금리</t>
        </is>
      </c>
      <c r="H8831" s="3" t="inlineStr">
        <is>
          <t>계획관리지역</t>
        </is>
      </c>
      <c r="I8831" s="3" t="inlineStr">
        <is>
          <t>답</t>
        </is>
      </c>
      <c r="J8831" s="3" t="inlineStr">
        <is>
          <t>유구읍</t>
        </is>
      </c>
    </row>
    <row r="8832">
      <c r="A8832" s="3" t="n">
        <v>2024</v>
      </c>
      <c r="B8832" s="4" t="n">
        <v>1100</v>
      </c>
      <c r="C8832" s="4" t="n">
        <v>267</v>
      </c>
      <c r="D8832" s="4" t="n">
        <v>80.7675</v>
      </c>
      <c r="E8832" s="5" t="n">
        <v>13.6</v>
      </c>
      <c r="F8832" s="3" t="inlineStr">
        <is>
          <t>유구읍</t>
        </is>
      </c>
      <c r="G8832" s="3" t="inlineStr">
        <is>
          <t>신달리</t>
        </is>
      </c>
      <c r="H8832" s="3" t="inlineStr">
        <is>
          <t>계획관리지역</t>
        </is>
      </c>
      <c r="I8832" s="3" t="inlineStr">
        <is>
          <t>대</t>
        </is>
      </c>
      <c r="J8832" s="3" t="inlineStr">
        <is>
          <t>유구읍</t>
        </is>
      </c>
    </row>
    <row r="8833">
      <c r="A8833" s="3" t="n">
        <v>2023</v>
      </c>
      <c r="B8833" s="4" t="n">
        <v>1750</v>
      </c>
      <c r="C8833" s="4" t="n">
        <v>638</v>
      </c>
      <c r="D8833" s="4" t="n">
        <v>192.995</v>
      </c>
      <c r="E8833" s="5" t="n">
        <v>9.1</v>
      </c>
      <c r="F8833" s="3" t="inlineStr">
        <is>
          <t>유구읍</t>
        </is>
      </c>
      <c r="G8833" s="3" t="inlineStr">
        <is>
          <t>만천리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유구읍</t>
        </is>
      </c>
    </row>
    <row r="8834">
      <c r="A8834" s="3" t="n">
        <v>2023</v>
      </c>
      <c r="B8834" s="4" t="n">
        <v>2300</v>
      </c>
      <c r="C8834" s="4" t="n">
        <v>702</v>
      </c>
      <c r="D8834" s="4" t="n">
        <v>212.355</v>
      </c>
      <c r="E8834" s="5" t="n">
        <v>10.8</v>
      </c>
      <c r="F8834" s="3" t="inlineStr">
        <is>
          <t>유구읍</t>
        </is>
      </c>
      <c r="G8834" s="3" t="inlineStr">
        <is>
          <t>만천리</t>
        </is>
      </c>
      <c r="H8834" s="3" t="inlineStr">
        <is>
          <t>계획관리지역</t>
        </is>
      </c>
      <c r="I8834" s="3" t="inlineStr">
        <is>
          <t>답</t>
        </is>
      </c>
      <c r="J8834" s="3" t="inlineStr">
        <is>
          <t>유구읍</t>
        </is>
      </c>
    </row>
    <row r="8835">
      <c r="A8835" s="3" t="n">
        <v>2023</v>
      </c>
      <c r="B8835" s="4" t="n">
        <v>700</v>
      </c>
      <c r="C8835" s="4" t="n">
        <v>893</v>
      </c>
      <c r="D8835" s="4" t="n">
        <v>270.1325</v>
      </c>
      <c r="E8835" s="5" t="n">
        <v>2.6</v>
      </c>
      <c r="F8835" s="3" t="inlineStr">
        <is>
          <t>유구읍</t>
        </is>
      </c>
      <c r="G8835" s="3" t="inlineStr">
        <is>
          <t>추계리</t>
        </is>
      </c>
      <c r="H8835" s="3" t="inlineStr">
        <is>
          <t>농림지역</t>
        </is>
      </c>
      <c r="I8835" s="3" t="inlineStr">
        <is>
          <t>임야</t>
        </is>
      </c>
      <c r="J8835" s="3" t="inlineStr">
        <is>
          <t>유구읍</t>
        </is>
      </c>
    </row>
    <row r="8836">
      <c r="A8836" s="3" t="n">
        <v>2023</v>
      </c>
      <c r="B8836" s="4" t="n">
        <v>12354</v>
      </c>
      <c r="C8836" s="4" t="n">
        <v>3710</v>
      </c>
      <c r="D8836" s="4" t="n">
        <v>1122.275</v>
      </c>
      <c r="E8836" s="5" t="n">
        <v>11</v>
      </c>
      <c r="F8836" s="3" t="inlineStr">
        <is>
          <t>유구읍</t>
        </is>
      </c>
      <c r="G8836" s="3" t="inlineStr">
        <is>
          <t>입석리</t>
        </is>
      </c>
      <c r="H8836" s="3" t="inlineStr">
        <is>
          <t>농림지역</t>
        </is>
      </c>
      <c r="I8836" s="3" t="inlineStr">
        <is>
          <t>답</t>
        </is>
      </c>
      <c r="J8836" s="3" t="inlineStr">
        <is>
          <t>유구읍</t>
        </is>
      </c>
    </row>
    <row r="8837">
      <c r="A8837" s="3" t="n">
        <v>2023</v>
      </c>
      <c r="B8837" s="4" t="n">
        <v>1000</v>
      </c>
      <c r="C8837" s="4" t="n">
        <v>394</v>
      </c>
      <c r="D8837" s="4" t="n">
        <v>119.185</v>
      </c>
      <c r="E8837" s="5" t="n">
        <v>8.4</v>
      </c>
      <c r="F8837" s="3" t="inlineStr">
        <is>
          <t>유구읍</t>
        </is>
      </c>
      <c r="G8837" s="3" t="inlineStr">
        <is>
          <t>세동리</t>
        </is>
      </c>
      <c r="H8837" s="3" t="inlineStr">
        <is>
          <t>계획관리지역</t>
        </is>
      </c>
      <c r="I8837" s="3" t="inlineStr">
        <is>
          <t>대</t>
        </is>
      </c>
      <c r="J8837" s="3" t="inlineStr">
        <is>
          <t>유구읍</t>
        </is>
      </c>
    </row>
    <row r="8838">
      <c r="A8838" s="3" t="n">
        <v>2023</v>
      </c>
      <c r="B8838" s="4" t="n">
        <v>1200</v>
      </c>
      <c r="C8838" s="4" t="n">
        <v>337</v>
      </c>
      <c r="D8838" s="4" t="n">
        <v>101.9425</v>
      </c>
      <c r="E8838" s="5" t="n">
        <v>11.8</v>
      </c>
      <c r="F8838" s="3" t="inlineStr">
        <is>
          <t>유구읍</t>
        </is>
      </c>
      <c r="G8838" s="3" t="inlineStr">
        <is>
          <t>세동리</t>
        </is>
      </c>
      <c r="H8838" s="3" t="inlineStr">
        <is>
          <t>계획관리지역</t>
        </is>
      </c>
      <c r="I8838" s="3" t="inlineStr">
        <is>
          <t>대</t>
        </is>
      </c>
      <c r="J8838" s="3" t="inlineStr">
        <is>
          <t>유구읍</t>
        </is>
      </c>
    </row>
    <row r="8839">
      <c r="A8839" s="3" t="n">
        <v>2022</v>
      </c>
      <c r="B8839" s="4" t="n">
        <v>8196</v>
      </c>
      <c r="C8839" s="4" t="n">
        <v>2260</v>
      </c>
      <c r="D8839" s="4" t="n">
        <v>683.65</v>
      </c>
      <c r="E8839" s="5" t="n">
        <v>12</v>
      </c>
      <c r="F8839" s="3" t="inlineStr">
        <is>
          <t>유구읍</t>
        </is>
      </c>
      <c r="G8839" s="3" t="inlineStr">
        <is>
          <t>만천리</t>
        </is>
      </c>
      <c r="H8839" s="3" t="inlineStr">
        <is>
          <t>농림지역</t>
        </is>
      </c>
      <c r="I8839" s="3" t="inlineStr">
        <is>
          <t>답</t>
        </is>
      </c>
      <c r="J8839" s="3" t="inlineStr">
        <is>
          <t>유구읍</t>
        </is>
      </c>
    </row>
    <row r="8840">
      <c r="A8840" s="3" t="n">
        <v>2022</v>
      </c>
      <c r="B8840" s="4" t="n">
        <v>1525</v>
      </c>
      <c r="C8840" s="4" t="n">
        <v>121</v>
      </c>
      <c r="D8840" s="4" t="n">
        <v>36.6025</v>
      </c>
      <c r="E8840" s="5" t="n">
        <v>41.7</v>
      </c>
      <c r="F8840" s="3" t="inlineStr">
        <is>
          <t>유구읍</t>
        </is>
      </c>
      <c r="G8840" s="3" t="inlineStr">
        <is>
          <t>녹천리</t>
        </is>
      </c>
      <c r="H8840" s="3" t="inlineStr">
        <is>
          <t>제2종일반주거지역</t>
        </is>
      </c>
      <c r="I8840" s="3" t="inlineStr">
        <is>
          <t>답</t>
        </is>
      </c>
      <c r="J8840" s="3" t="inlineStr">
        <is>
          <t>유구읍</t>
        </is>
      </c>
    </row>
    <row r="8841">
      <c r="A8841" s="3" t="n">
        <v>2023</v>
      </c>
      <c r="B8841" s="4" t="n">
        <v>74000</v>
      </c>
      <c r="C8841" s="4" t="n">
        <v>816</v>
      </c>
      <c r="D8841" s="4" t="n">
        <v>246.84</v>
      </c>
      <c r="E8841" s="5" t="n">
        <v>299.8</v>
      </c>
      <c r="F8841" s="3" t="inlineStr">
        <is>
          <t>오송읍</t>
        </is>
      </c>
      <c r="G8841" s="3" t="inlineStr">
        <is>
          <t>오송리</t>
        </is>
      </c>
      <c r="H8841" s="3" t="inlineStr">
        <is>
          <t>농림지역</t>
        </is>
      </c>
      <c r="I8841" s="3" t="inlineStr">
        <is>
          <t>답</t>
        </is>
      </c>
      <c r="J8841" s="3" t="inlineStr">
        <is>
          <t>오송읍</t>
        </is>
      </c>
    </row>
    <row r="8842">
      <c r="A8842" s="3" t="n">
        <v>2023</v>
      </c>
      <c r="B8842" s="4" t="n">
        <v>39500</v>
      </c>
      <c r="C8842" s="4" t="n">
        <v>2076</v>
      </c>
      <c r="D8842" s="4" t="n">
        <v>627.99</v>
      </c>
      <c r="E8842" s="5" t="n">
        <v>62.9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답</t>
        </is>
      </c>
      <c r="J8842" s="3" t="inlineStr">
        <is>
          <t>오송읍</t>
        </is>
      </c>
    </row>
    <row r="8843">
      <c r="A8843" s="3" t="n">
        <v>2023</v>
      </c>
      <c r="B8843" s="4" t="n">
        <v>16107</v>
      </c>
      <c r="C8843" s="4" t="n">
        <v>409</v>
      </c>
      <c r="D8843" s="4" t="n">
        <v>123.7225</v>
      </c>
      <c r="E8843" s="5" t="n">
        <v>130.2</v>
      </c>
      <c r="F8843" s="3" t="inlineStr">
        <is>
          <t>오송읍</t>
        </is>
      </c>
      <c r="G8843" s="3" t="inlineStr">
        <is>
          <t>공북리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오송읍</t>
        </is>
      </c>
    </row>
    <row r="8844">
      <c r="A8844" s="3" t="n">
        <v>2023</v>
      </c>
      <c r="B8844" s="4" t="n">
        <v>490</v>
      </c>
      <c r="C8844" s="4" t="n">
        <v>18</v>
      </c>
      <c r="D8844" s="4" t="n">
        <v>5.445</v>
      </c>
      <c r="E8844" s="5" t="n">
        <v>90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2023</v>
      </c>
      <c r="B8845" s="4" t="n">
        <v>39500</v>
      </c>
      <c r="C8845" s="4" t="n">
        <v>2076</v>
      </c>
      <c r="D8845" s="4" t="n">
        <v>627.99</v>
      </c>
      <c r="E8845" s="5" t="n">
        <v>62.9</v>
      </c>
      <c r="F8845" s="3" t="inlineStr">
        <is>
          <t>오송읍</t>
        </is>
      </c>
      <c r="G8845" s="3" t="inlineStr">
        <is>
          <t>쌍청리</t>
        </is>
      </c>
      <c r="H8845" s="3" t="inlineStr">
        <is>
          <t>농림지역</t>
        </is>
      </c>
      <c r="I8845" s="3" t="inlineStr">
        <is>
          <t>답</t>
        </is>
      </c>
      <c r="J8845" s="3" t="inlineStr">
        <is>
          <t>오송읍</t>
        </is>
      </c>
    </row>
    <row r="8846">
      <c r="A8846" s="3" t="n">
        <v>2023</v>
      </c>
      <c r="B8846" s="4" t="n">
        <v>9500</v>
      </c>
      <c r="C8846" s="4" t="n">
        <v>1031</v>
      </c>
      <c r="D8846" s="4" t="n">
        <v>311.8775</v>
      </c>
      <c r="E8846" s="5" t="n">
        <v>30.5</v>
      </c>
      <c r="F8846" s="3" t="inlineStr">
        <is>
          <t>강내면</t>
        </is>
      </c>
      <c r="G8846" s="3" t="inlineStr">
        <is>
          <t>사인리</t>
        </is>
      </c>
      <c r="H8846" s="3" t="inlineStr">
        <is>
          <t>자연녹지지역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2023</v>
      </c>
      <c r="B8847" s="4" t="n">
        <v>20000</v>
      </c>
      <c r="C8847" s="4" t="n">
        <v>243</v>
      </c>
      <c r="D8847" s="4" t="n">
        <v>73.50749999999999</v>
      </c>
      <c r="E8847" s="5" t="n">
        <v>272.1</v>
      </c>
      <c r="F8847" s="3" t="inlineStr">
        <is>
          <t>오송읍</t>
        </is>
      </c>
      <c r="G8847" s="3" t="inlineStr">
        <is>
          <t>궁평리</t>
        </is>
      </c>
      <c r="H8847" s="3" t="inlineStr">
        <is>
          <t>농림지역</t>
        </is>
      </c>
      <c r="I8847" s="3" t="inlineStr">
        <is>
          <t>대</t>
        </is>
      </c>
      <c r="J8847" s="3" t="inlineStr">
        <is>
          <t>오송읍</t>
        </is>
      </c>
    </row>
    <row r="8848">
      <c r="A8848" s="3" t="n">
        <v>2023</v>
      </c>
      <c r="B8848" s="4" t="n">
        <v>29667</v>
      </c>
      <c r="C8848" s="4" t="n">
        <v>3382</v>
      </c>
      <c r="D8848" s="4" t="n">
        <v>1023.055</v>
      </c>
      <c r="E8848" s="5" t="n">
        <v>29</v>
      </c>
      <c r="F8848" s="3" t="inlineStr">
        <is>
          <t>강내면</t>
        </is>
      </c>
      <c r="G8848" s="3" t="inlineStr">
        <is>
          <t>학천리</t>
        </is>
      </c>
      <c r="H8848" s="3" t="inlineStr">
        <is>
          <t>생산녹지지역</t>
        </is>
      </c>
      <c r="I8848" s="3" t="inlineStr">
        <is>
          <t>답</t>
        </is>
      </c>
      <c r="J8848" s="3" t="inlineStr">
        <is>
          <t>강내면</t>
        </is>
      </c>
    </row>
    <row r="8849">
      <c r="A8849" s="3" t="n">
        <v>2023</v>
      </c>
      <c r="B8849" s="4" t="n">
        <v>8983</v>
      </c>
      <c r="C8849" s="4" t="n">
        <v>1481</v>
      </c>
      <c r="D8849" s="4" t="n">
        <v>448.0025</v>
      </c>
      <c r="E8849" s="5" t="n">
        <v>20.1</v>
      </c>
      <c r="F8849" s="3" t="inlineStr">
        <is>
          <t>강내면</t>
        </is>
      </c>
      <c r="G8849" s="3" t="inlineStr">
        <is>
          <t>학천리</t>
        </is>
      </c>
      <c r="H8849" s="3" t="inlineStr">
        <is>
          <t>자연녹지지역</t>
        </is>
      </c>
      <c r="I8849" s="3" t="inlineStr">
        <is>
          <t>전</t>
        </is>
      </c>
      <c r="J8849" s="3" t="inlineStr">
        <is>
          <t>강내면</t>
        </is>
      </c>
    </row>
    <row r="8850">
      <c r="A8850" s="3" t="n">
        <v>2023</v>
      </c>
      <c r="B8850" s="4" t="n">
        <v>85988</v>
      </c>
      <c r="C8850" s="4" t="n">
        <v>1097</v>
      </c>
      <c r="D8850" s="4" t="n">
        <v>331.8425</v>
      </c>
      <c r="E8850" s="5" t="n">
        <v>259.1</v>
      </c>
      <c r="F8850" s="3" t="inlineStr">
        <is>
          <t>강내면</t>
        </is>
      </c>
      <c r="G8850" s="3" t="inlineStr">
        <is>
          <t>월곡리</t>
        </is>
      </c>
      <c r="H8850" s="3" t="inlineStr">
        <is>
          <t>제2종일반주거지역</t>
        </is>
      </c>
      <c r="I8850" s="3" t="inlineStr">
        <is>
          <t>답</t>
        </is>
      </c>
      <c r="J8850" s="3" t="inlineStr">
        <is>
          <t>강내면</t>
        </is>
      </c>
    </row>
    <row r="8851">
      <c r="A8851" s="3" t="n">
        <v>2023</v>
      </c>
      <c r="B8851" s="4" t="n">
        <v>2579</v>
      </c>
      <c r="C8851" s="4" t="n">
        <v>33</v>
      </c>
      <c r="D8851" s="4" t="n">
        <v>9.9825</v>
      </c>
      <c r="E8851" s="5" t="n">
        <v>258.4</v>
      </c>
      <c r="F8851" s="3" t="inlineStr">
        <is>
          <t>강내면</t>
        </is>
      </c>
      <c r="G8851" s="3" t="inlineStr">
        <is>
          <t>월곡리</t>
        </is>
      </c>
      <c r="H8851" s="3" t="inlineStr">
        <is>
          <t>제2종일반주거지역</t>
        </is>
      </c>
      <c r="I8851" s="3" t="inlineStr">
        <is>
          <t>답</t>
        </is>
      </c>
      <c r="J8851" s="3" t="inlineStr">
        <is>
          <t>강내면</t>
        </is>
      </c>
    </row>
    <row r="8852">
      <c r="A8852" s="3" t="n">
        <v>2023</v>
      </c>
      <c r="B8852" s="4" t="n">
        <v>21756</v>
      </c>
      <c r="C8852" s="4" t="n">
        <v>279</v>
      </c>
      <c r="D8852" s="4" t="n">
        <v>84.39749999999999</v>
      </c>
      <c r="E8852" s="5" t="n">
        <v>257.8</v>
      </c>
      <c r="F8852" s="3" t="inlineStr">
        <is>
          <t>강내면</t>
        </is>
      </c>
      <c r="G8852" s="3" t="inlineStr">
        <is>
          <t>월곡리</t>
        </is>
      </c>
      <c r="H8852" s="3" t="inlineStr">
        <is>
          <t>제2종일반주거지역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26677</v>
      </c>
      <c r="C8853" s="4" t="n">
        <v>340</v>
      </c>
      <c r="D8853" s="4" t="n">
        <v>102.85</v>
      </c>
      <c r="E8853" s="5" t="n">
        <v>259.4</v>
      </c>
      <c r="F8853" s="3" t="inlineStr">
        <is>
          <t>강내면</t>
        </is>
      </c>
      <c r="G8853" s="3" t="inlineStr">
        <is>
          <t>월곡리</t>
        </is>
      </c>
      <c r="H8853" s="3" t="inlineStr">
        <is>
          <t>제2종일반주거지역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30000</v>
      </c>
      <c r="C8854" s="4" t="n">
        <v>879</v>
      </c>
      <c r="D8854" s="4" t="n">
        <v>265.8975</v>
      </c>
      <c r="E8854" s="5" t="n">
        <v>112.8</v>
      </c>
      <c r="F8854" s="3" t="inlineStr">
        <is>
          <t>강내면</t>
        </is>
      </c>
      <c r="G8854" s="3" t="inlineStr">
        <is>
          <t>학천리</t>
        </is>
      </c>
      <c r="H8854" s="3" t="inlineStr">
        <is>
          <t>자연녹지지역</t>
        </is>
      </c>
      <c r="I8854" s="3" t="inlineStr">
        <is>
          <t>임야</t>
        </is>
      </c>
      <c r="J8854" s="3" t="inlineStr">
        <is>
          <t>강내면</t>
        </is>
      </c>
    </row>
    <row r="8855">
      <c r="A8855" s="3" t="n">
        <v>2023</v>
      </c>
      <c r="B8855" s="4" t="n">
        <v>43257</v>
      </c>
      <c r="C8855" s="4" t="n">
        <v>3911</v>
      </c>
      <c r="D8855" s="4" t="n">
        <v>1183.0775</v>
      </c>
      <c r="E8855" s="5" t="n">
        <v>36.6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오송읍</t>
        </is>
      </c>
    </row>
    <row r="8856">
      <c r="A8856" s="3" t="n">
        <v>2023</v>
      </c>
      <c r="B8856" s="4" t="n">
        <v>343</v>
      </c>
      <c r="C8856" s="4" t="n">
        <v>31</v>
      </c>
      <c r="D8856" s="4" t="n">
        <v>9.3775</v>
      </c>
      <c r="E8856" s="5" t="n">
        <v>36.6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보전관리지역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15463</v>
      </c>
      <c r="C8857" s="4" t="n">
        <v>522.9</v>
      </c>
      <c r="D8857" s="4" t="n">
        <v>158.17725</v>
      </c>
      <c r="E8857" s="5" t="n">
        <v>97.8</v>
      </c>
      <c r="F8857" s="3" t="inlineStr">
        <is>
          <t>오송읍</t>
        </is>
      </c>
      <c r="G8857" s="3" t="inlineStr">
        <is>
          <t>상정리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32190</v>
      </c>
      <c r="C8858" s="4" t="n">
        <v>556.7</v>
      </c>
      <c r="D8858" s="4" t="n">
        <v>168.40175</v>
      </c>
      <c r="E8858" s="5" t="n">
        <v>191.2</v>
      </c>
      <c r="F8858" s="3" t="inlineStr">
        <is>
          <t>강내면</t>
        </is>
      </c>
      <c r="G8858" s="3" t="inlineStr">
        <is>
          <t>사곡리</t>
        </is>
      </c>
      <c r="H8858" s="3" t="inlineStr">
        <is>
          <t>보전관리지역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2022</v>
      </c>
      <c r="B8859" s="4" t="n">
        <v>9720</v>
      </c>
      <c r="C8859" s="4" t="n">
        <v>1607</v>
      </c>
      <c r="D8859" s="4" t="n">
        <v>486.1175</v>
      </c>
      <c r="E8859" s="5" t="n">
        <v>20</v>
      </c>
      <c r="F8859" s="3" t="inlineStr">
        <is>
          <t>유구읍</t>
        </is>
      </c>
      <c r="G8859" s="3" t="inlineStr">
        <is>
          <t>동해리</t>
        </is>
      </c>
      <c r="H8859" s="3" t="inlineStr">
        <is>
          <t>계획관리지역</t>
        </is>
      </c>
      <c r="I8859" s="3" t="inlineStr">
        <is>
          <t>전</t>
        </is>
      </c>
      <c r="J8859" s="3" t="inlineStr">
        <is>
          <t>유구읍</t>
        </is>
      </c>
    </row>
    <row r="8860">
      <c r="A8860" s="3" t="n">
        <v>2022</v>
      </c>
      <c r="B8860" s="4" t="n">
        <v>17696</v>
      </c>
      <c r="C8860" s="4" t="n">
        <v>1829</v>
      </c>
      <c r="D8860" s="4" t="n">
        <v>553.2725</v>
      </c>
      <c r="E8860" s="5" t="n">
        <v>32</v>
      </c>
      <c r="F8860" s="3" t="inlineStr">
        <is>
          <t>유구읍</t>
        </is>
      </c>
      <c r="G8860" s="3" t="inlineStr">
        <is>
          <t>만천리</t>
        </is>
      </c>
      <c r="H8860" s="3" t="inlineStr">
        <is>
          <t>계획관리지역</t>
        </is>
      </c>
      <c r="I8860" s="3" t="inlineStr">
        <is>
          <t>답</t>
        </is>
      </c>
      <c r="J8860" s="3" t="inlineStr">
        <is>
          <t>유구읍</t>
        </is>
      </c>
    </row>
    <row r="8861">
      <c r="A8861" s="3" t="n">
        <v>2022</v>
      </c>
      <c r="B8861" s="4" t="n">
        <v>420</v>
      </c>
      <c r="C8861" s="4" t="n">
        <v>55</v>
      </c>
      <c r="D8861" s="4" t="n">
        <v>16.6375</v>
      </c>
      <c r="E8861" s="5" t="n">
        <v>25.2</v>
      </c>
      <c r="F8861" s="3" t="inlineStr">
        <is>
          <t>유구읍</t>
        </is>
      </c>
      <c r="G8861" s="3" t="inlineStr">
        <is>
          <t>녹천리</t>
        </is>
      </c>
      <c r="H8861" s="3" t="inlineStr">
        <is>
          <t>계획관리지역</t>
        </is>
      </c>
      <c r="I8861" s="3" t="inlineStr">
        <is>
          <t>전</t>
        </is>
      </c>
      <c r="J8861" s="3" t="inlineStr">
        <is>
          <t>유구읍</t>
        </is>
      </c>
    </row>
    <row r="8862">
      <c r="A8862" s="3" t="n">
        <v>2023</v>
      </c>
      <c r="B8862" s="4" t="n">
        <v>593631</v>
      </c>
      <c r="C8862" s="4" t="n">
        <v>16722</v>
      </c>
      <c r="D8862" s="4" t="n">
        <v>5058.405</v>
      </c>
      <c r="E8862" s="5" t="n">
        <v>117.4</v>
      </c>
      <c r="F8862" s="3" t="inlineStr">
        <is>
          <t>오송읍</t>
        </is>
      </c>
      <c r="G8862" s="3" t="inlineStr">
        <is>
          <t>연제리</t>
        </is>
      </c>
      <c r="H8862" s="3" t="inlineStr">
        <is>
          <t>일반공업지역</t>
        </is>
      </c>
      <c r="I8862" s="3" t="inlineStr">
        <is>
          <t>공장용지</t>
        </is>
      </c>
      <c r="J8862" s="3" t="inlineStr">
        <is>
          <t>오송읍</t>
        </is>
      </c>
    </row>
    <row r="8863">
      <c r="A8863" s="3" t="n">
        <v>2023</v>
      </c>
      <c r="B8863" s="4" t="n">
        <v>43000</v>
      </c>
      <c r="C8863" s="4" t="n">
        <v>1140</v>
      </c>
      <c r="D8863" s="4" t="n">
        <v>344.85</v>
      </c>
      <c r="E8863" s="5" t="n">
        <v>124.7</v>
      </c>
      <c r="F8863" s="3" t="inlineStr">
        <is>
          <t>오송읍</t>
        </is>
      </c>
      <c r="G8863" s="3" t="inlineStr">
        <is>
          <t>정중리</t>
        </is>
      </c>
      <c r="H8863" s="3" t="inlineStr">
        <is>
          <t>보전관리지역</t>
        </is>
      </c>
      <c r="I8863" s="3" t="inlineStr">
        <is>
          <t>전</t>
        </is>
      </c>
      <c r="J8863" s="3" t="inlineStr">
        <is>
          <t>오송읍</t>
        </is>
      </c>
    </row>
    <row r="8864">
      <c r="A8864" s="3" t="n">
        <v>2023</v>
      </c>
      <c r="B8864" s="4" t="n">
        <v>30000</v>
      </c>
      <c r="C8864" s="4" t="n">
        <v>356</v>
      </c>
      <c r="D8864" s="4" t="n">
        <v>107.69</v>
      </c>
      <c r="E8864" s="5" t="n">
        <v>278.6</v>
      </c>
      <c r="F8864" s="3" t="inlineStr">
        <is>
          <t>오송읍</t>
        </is>
      </c>
      <c r="G8864" s="3" t="inlineStr">
        <is>
          <t>오송리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오송읍</t>
        </is>
      </c>
    </row>
    <row r="8865">
      <c r="A8865" s="3" t="n">
        <v>2023</v>
      </c>
      <c r="B8865" s="4" t="n">
        <v>21000</v>
      </c>
      <c r="C8865" s="4" t="n">
        <v>182</v>
      </c>
      <c r="D8865" s="4" t="n">
        <v>55.055</v>
      </c>
      <c r="E8865" s="5" t="n">
        <v>381.4</v>
      </c>
      <c r="F8865" s="3" t="inlineStr">
        <is>
          <t>오송읍</t>
        </is>
      </c>
      <c r="G8865" s="3" t="inlineStr">
        <is>
          <t>오송리</t>
        </is>
      </c>
      <c r="H8865" s="3" t="inlineStr">
        <is>
          <t>계획관리지역</t>
        </is>
      </c>
      <c r="I8865" s="3" t="inlineStr">
        <is>
          <t>대</t>
        </is>
      </c>
      <c r="J8865" s="3" t="inlineStr">
        <is>
          <t>오송읍</t>
        </is>
      </c>
    </row>
    <row r="8866">
      <c r="A8866" s="3" t="n">
        <v>2023</v>
      </c>
      <c r="B8866" s="4" t="n">
        <v>85000</v>
      </c>
      <c r="C8866" s="4" t="n">
        <v>331</v>
      </c>
      <c r="D8866" s="4" t="n">
        <v>100.1275</v>
      </c>
      <c r="E8866" s="5" t="n">
        <v>848.9</v>
      </c>
      <c r="F8866" s="3" t="inlineStr">
        <is>
          <t>강내면</t>
        </is>
      </c>
      <c r="G8866" s="3" t="inlineStr">
        <is>
          <t>탑연리</t>
        </is>
      </c>
      <c r="H8866" s="3" t="inlineStr">
        <is>
          <t>일반상업지역</t>
        </is>
      </c>
      <c r="I8866" s="3" t="inlineStr">
        <is>
          <t>대</t>
        </is>
      </c>
      <c r="J8866" s="3" t="inlineStr">
        <is>
          <t>강내면</t>
        </is>
      </c>
    </row>
    <row r="8867">
      <c r="A8867" s="3" t="n">
        <v>2023</v>
      </c>
      <c r="B8867" s="4" t="n">
        <v>1000</v>
      </c>
      <c r="C8867" s="4" t="n">
        <v>4</v>
      </c>
      <c r="D8867" s="4" t="n">
        <v>1.21</v>
      </c>
      <c r="E8867" s="5" t="n">
        <v>826.4</v>
      </c>
      <c r="F8867" s="3" t="inlineStr">
        <is>
          <t>강내면</t>
        </is>
      </c>
      <c r="G8867" s="3" t="inlineStr">
        <is>
          <t>탑연리</t>
        </is>
      </c>
      <c r="H8867" s="3" t="inlineStr">
        <is>
          <t>일반상업지역</t>
        </is>
      </c>
      <c r="I8867" s="3" t="inlineStr">
        <is>
          <t>전</t>
        </is>
      </c>
      <c r="J8867" s="3" t="inlineStr">
        <is>
          <t>강내면</t>
        </is>
      </c>
    </row>
    <row r="8868">
      <c r="A8868" s="3" t="n">
        <v>2023</v>
      </c>
      <c r="B8868" s="4" t="n">
        <v>15000</v>
      </c>
      <c r="C8868" s="4" t="n">
        <v>49</v>
      </c>
      <c r="D8868" s="4" t="n">
        <v>14.8225</v>
      </c>
      <c r="E8868" s="5" t="n">
        <v>1012</v>
      </c>
      <c r="F8868" s="3" t="inlineStr">
        <is>
          <t>강내면</t>
        </is>
      </c>
      <c r="G8868" s="3" t="inlineStr">
        <is>
          <t>탑연리</t>
        </is>
      </c>
      <c r="H8868" s="3" t="inlineStr">
        <is>
          <t>일반상업지역</t>
        </is>
      </c>
      <c r="I8868" s="3" t="inlineStr">
        <is>
          <t>대</t>
        </is>
      </c>
      <c r="J8868" s="3" t="inlineStr">
        <is>
          <t>강내면</t>
        </is>
      </c>
    </row>
    <row r="8869">
      <c r="A8869" s="3" t="n">
        <v>2023</v>
      </c>
      <c r="B8869" s="4" t="n">
        <v>10000</v>
      </c>
      <c r="C8869" s="4" t="n">
        <v>34</v>
      </c>
      <c r="D8869" s="4" t="n">
        <v>10.285</v>
      </c>
      <c r="E8869" s="5" t="n">
        <v>972.3</v>
      </c>
      <c r="F8869" s="3" t="inlineStr">
        <is>
          <t>강내면</t>
        </is>
      </c>
      <c r="G8869" s="3" t="inlineStr">
        <is>
          <t>탑연리</t>
        </is>
      </c>
      <c r="H8869" s="3" t="inlineStr">
        <is>
          <t>일반상업지역</t>
        </is>
      </c>
      <c r="I8869" s="3" t="inlineStr">
        <is>
          <t>전</t>
        </is>
      </c>
      <c r="J8869" s="3" t="inlineStr">
        <is>
          <t>강내면</t>
        </is>
      </c>
    </row>
    <row r="8870">
      <c r="A8870" s="3" t="n">
        <v>2023</v>
      </c>
      <c r="B8870" s="4" t="n">
        <v>49000</v>
      </c>
      <c r="C8870" s="4" t="n">
        <v>162</v>
      </c>
      <c r="D8870" s="4" t="n">
        <v>49.005</v>
      </c>
      <c r="E8870" s="5" t="n">
        <v>999.9</v>
      </c>
      <c r="F8870" s="3" t="inlineStr">
        <is>
          <t>강내면</t>
        </is>
      </c>
      <c r="G8870" s="3" t="inlineStr">
        <is>
          <t>탑연리</t>
        </is>
      </c>
      <c r="H8870" s="3" t="inlineStr">
        <is>
          <t>일반상업지역</t>
        </is>
      </c>
      <c r="I8870" s="3" t="inlineStr">
        <is>
          <t>임야</t>
        </is>
      </c>
      <c r="J8870" s="3" t="inlineStr">
        <is>
          <t>강내면</t>
        </is>
      </c>
    </row>
    <row r="8871">
      <c r="A8871" s="3" t="n">
        <v>2023</v>
      </c>
      <c r="B8871" s="4" t="n">
        <v>135000</v>
      </c>
      <c r="C8871" s="4" t="n">
        <v>3949.1</v>
      </c>
      <c r="D8871" s="4" t="n">
        <v>1194.60275</v>
      </c>
      <c r="E8871" s="5" t="n">
        <v>113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일반공업지역</t>
        </is>
      </c>
      <c r="I8871" s="3" t="inlineStr">
        <is>
          <t>공장용지</t>
        </is>
      </c>
      <c r="J8871" s="3" t="inlineStr">
        <is>
          <t>오송읍</t>
        </is>
      </c>
    </row>
    <row r="8872">
      <c r="A8872" s="3" t="n">
        <v>2023</v>
      </c>
      <c r="B8872" s="4" t="n">
        <v>9550</v>
      </c>
      <c r="C8872" s="4" t="n">
        <v>330</v>
      </c>
      <c r="D8872" s="4" t="n">
        <v>99.825</v>
      </c>
      <c r="E8872" s="5" t="n">
        <v>95.7</v>
      </c>
      <c r="F8872" s="3" t="inlineStr">
        <is>
          <t>강내면</t>
        </is>
      </c>
      <c r="G8872" s="3" t="inlineStr">
        <is>
          <t>사곡리</t>
        </is>
      </c>
      <c r="H8872" s="3" t="inlineStr">
        <is>
          <t>보전관리지역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61233</v>
      </c>
      <c r="C8873" s="4" t="n">
        <v>1901</v>
      </c>
      <c r="D8873" s="4" t="n">
        <v>575.0525</v>
      </c>
      <c r="E8873" s="5" t="n">
        <v>106.5</v>
      </c>
      <c r="F8873" s="3" t="inlineStr">
        <is>
          <t>오송읍</t>
        </is>
      </c>
      <c r="G8873" s="3" t="inlineStr">
        <is>
          <t>궁평리</t>
        </is>
      </c>
      <c r="H8873" s="3" t="inlineStr">
        <is>
          <t>농림지역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2025</v>
      </c>
      <c r="B8874" s="4" t="n">
        <v>20308</v>
      </c>
      <c r="C8874" s="4" t="n">
        <v>223.6</v>
      </c>
      <c r="D8874" s="4" t="n">
        <v>67.639</v>
      </c>
      <c r="E8874" s="5" t="n">
        <v>300.2</v>
      </c>
      <c r="F8874" s="3" t="inlineStr">
        <is>
          <t>오송읍</t>
        </is>
      </c>
      <c r="G8874" s="3" t="inlineStr">
        <is>
          <t>오송리</t>
        </is>
      </c>
      <c r="H8874" s="3" t="inlineStr">
        <is>
          <t>용도미지정</t>
        </is>
      </c>
      <c r="I8874" s="3" t="inlineStr">
        <is>
          <t>대</t>
        </is>
      </c>
      <c r="J8874" s="3" t="inlineStr">
        <is>
          <t>오송읍</t>
        </is>
      </c>
    </row>
    <row r="8875">
      <c r="A8875" s="3" t="n">
        <v>2025</v>
      </c>
      <c r="B8875" s="4" t="n">
        <v>35000</v>
      </c>
      <c r="C8875" s="4" t="n">
        <v>1105</v>
      </c>
      <c r="D8875" s="4" t="n">
        <v>334.2625</v>
      </c>
      <c r="E8875" s="5" t="n">
        <v>104.7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2025</v>
      </c>
      <c r="B8876" s="4" t="n">
        <v>39800</v>
      </c>
      <c r="C8876" s="4" t="n">
        <v>1269</v>
      </c>
      <c r="D8876" s="4" t="n">
        <v>383.8725</v>
      </c>
      <c r="E8876" s="5" t="n">
        <v>103.7</v>
      </c>
      <c r="F8876" s="3" t="inlineStr">
        <is>
          <t>강내면</t>
        </is>
      </c>
      <c r="G8876" s="3" t="inlineStr">
        <is>
          <t>월곡리</t>
        </is>
      </c>
      <c r="H8876" s="3" t="inlineStr">
        <is>
          <t>자연녹지지역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4600</v>
      </c>
      <c r="C8877" s="4" t="n">
        <v>387</v>
      </c>
      <c r="D8877" s="4" t="n">
        <v>117.0675</v>
      </c>
      <c r="E8877" s="5" t="n">
        <v>39.3</v>
      </c>
      <c r="F8877" s="3" t="inlineStr">
        <is>
          <t>오송읍</t>
        </is>
      </c>
      <c r="G8877" s="3" t="inlineStr">
        <is>
          <t>서평리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2025</v>
      </c>
      <c r="B8878" s="4" t="n">
        <v>11200</v>
      </c>
      <c r="C8878" s="4" t="n">
        <v>566</v>
      </c>
      <c r="D8878" s="4" t="n">
        <v>171.215</v>
      </c>
      <c r="E8878" s="5" t="n">
        <v>65.40000000000001</v>
      </c>
      <c r="F8878" s="3" t="inlineStr">
        <is>
          <t>강내면</t>
        </is>
      </c>
      <c r="G8878" s="3" t="inlineStr">
        <is>
          <t>당곡리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강내면</t>
        </is>
      </c>
    </row>
    <row r="8879">
      <c r="A8879" s="3" t="n">
        <v>2025</v>
      </c>
      <c r="B8879" s="4" t="n">
        <v>36000</v>
      </c>
      <c r="C8879" s="4" t="n">
        <v>287.2</v>
      </c>
      <c r="D8879" s="4" t="n">
        <v>86.878</v>
      </c>
      <c r="E8879" s="5" t="n">
        <v>414.4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4600</v>
      </c>
      <c r="C8880" s="4" t="n">
        <v>76</v>
      </c>
      <c r="D8880" s="4" t="n">
        <v>22.99</v>
      </c>
      <c r="E8880" s="5" t="n">
        <v>200.1</v>
      </c>
      <c r="F8880" s="3" t="inlineStr">
        <is>
          <t>오송읍</t>
        </is>
      </c>
      <c r="G8880" s="3" t="inlineStr">
        <is>
          <t>상정리</t>
        </is>
      </c>
      <c r="H8880" s="3" t="inlineStr">
        <is>
          <t>계획관리지역</t>
        </is>
      </c>
      <c r="I8880" s="3" t="inlineStr">
        <is>
          <t>창고용지</t>
        </is>
      </c>
      <c r="J8880" s="3" t="inlineStr">
        <is>
          <t>오송읍</t>
        </is>
      </c>
    </row>
    <row r="8881">
      <c r="A8881" s="3" t="n">
        <v>2025</v>
      </c>
      <c r="B8881" s="4" t="n">
        <v>2640</v>
      </c>
      <c r="C8881" s="4" t="n">
        <v>47</v>
      </c>
      <c r="D8881" s="4" t="n">
        <v>14.2175</v>
      </c>
      <c r="E8881" s="5" t="n">
        <v>185.7</v>
      </c>
      <c r="F8881" s="3" t="inlineStr">
        <is>
          <t>강내면</t>
        </is>
      </c>
      <c r="G8881" s="3" t="inlineStr">
        <is>
          <t>월탄리</t>
        </is>
      </c>
      <c r="H8881" s="3" t="inlineStr">
        <is>
          <t>계획관리지역</t>
        </is>
      </c>
      <c r="I8881" s="3" t="inlineStr">
        <is>
          <t>전</t>
        </is>
      </c>
      <c r="J8881" s="3" t="inlineStr">
        <is>
          <t>강내면</t>
        </is>
      </c>
    </row>
    <row r="8882">
      <c r="A8882" s="3" t="n">
        <v>2025</v>
      </c>
      <c r="B8882" s="4" t="n">
        <v>3641</v>
      </c>
      <c r="C8882" s="4" t="n">
        <v>63</v>
      </c>
      <c r="D8882" s="4" t="n">
        <v>19.0575</v>
      </c>
      <c r="E8882" s="5" t="n">
        <v>191.1</v>
      </c>
      <c r="F8882" s="3" t="inlineStr">
        <is>
          <t>강내면</t>
        </is>
      </c>
      <c r="G8882" s="3" t="inlineStr">
        <is>
          <t>월탄리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강내면</t>
        </is>
      </c>
    </row>
    <row r="8883">
      <c r="A8883" s="3" t="n">
        <v>2025</v>
      </c>
      <c r="B8883" s="4" t="n">
        <v>7686</v>
      </c>
      <c r="C8883" s="4" t="n">
        <v>133</v>
      </c>
      <c r="D8883" s="4" t="n">
        <v>40.2325</v>
      </c>
      <c r="E8883" s="5" t="n">
        <v>191</v>
      </c>
      <c r="F8883" s="3" t="inlineStr">
        <is>
          <t>강내면</t>
        </is>
      </c>
      <c r="G8883" s="3" t="inlineStr">
        <is>
          <t>월탄리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강내면</t>
        </is>
      </c>
    </row>
    <row r="8884">
      <c r="A8884" s="3" t="n">
        <v>2025</v>
      </c>
      <c r="B8884" s="4" t="n">
        <v>5200</v>
      </c>
      <c r="C8884" s="4" t="n">
        <v>259</v>
      </c>
      <c r="D8884" s="4" t="n">
        <v>78.3475</v>
      </c>
      <c r="E8884" s="5" t="n">
        <v>66.40000000000001</v>
      </c>
      <c r="F8884" s="3" t="inlineStr">
        <is>
          <t>강내면</t>
        </is>
      </c>
      <c r="G8884" s="3" t="inlineStr">
        <is>
          <t>월탄리</t>
        </is>
      </c>
      <c r="H8884" s="3" t="inlineStr">
        <is>
          <t>계획관리지역</t>
        </is>
      </c>
      <c r="I8884" s="3" t="inlineStr">
        <is>
          <t>임야</t>
        </is>
      </c>
      <c r="J8884" s="3" t="inlineStr">
        <is>
          <t>강내면</t>
        </is>
      </c>
    </row>
    <row r="8885">
      <c r="A8885" s="3" t="n">
        <v>2025</v>
      </c>
      <c r="B8885" s="4" t="n">
        <v>33000</v>
      </c>
      <c r="C8885" s="4" t="n">
        <v>267.5</v>
      </c>
      <c r="D8885" s="4" t="n">
        <v>80.91875</v>
      </c>
      <c r="E8885" s="5" t="n">
        <v>407.8</v>
      </c>
      <c r="F8885" s="3" t="inlineStr">
        <is>
          <t>오송읍</t>
        </is>
      </c>
      <c r="G8885" s="3" t="inlineStr">
        <is>
          <t>봉산리</t>
        </is>
      </c>
      <c r="H8885" s="3" t="inlineStr">
        <is>
          <t>제1종일반주거지역</t>
        </is>
      </c>
      <c r="I8885" s="3" t="inlineStr">
        <is>
          <t>대</t>
        </is>
      </c>
      <c r="J8885" s="3" t="inlineStr">
        <is>
          <t>오송읍</t>
        </is>
      </c>
    </row>
    <row r="8886">
      <c r="A8886" s="3" t="n">
        <v>2023</v>
      </c>
      <c r="B8886" s="4" t="n">
        <v>8490</v>
      </c>
      <c r="C8886" s="4" t="n">
        <v>401</v>
      </c>
      <c r="D8886" s="4" t="n">
        <v>121.3025</v>
      </c>
      <c r="E8886" s="5" t="n">
        <v>70</v>
      </c>
      <c r="F8886" s="3" t="inlineStr">
        <is>
          <t>강내면</t>
        </is>
      </c>
      <c r="G8886" s="3" t="inlineStr">
        <is>
          <t>저산리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강내면</t>
        </is>
      </c>
    </row>
    <row r="8887">
      <c r="A8887" s="3" t="n">
        <v>2023</v>
      </c>
      <c r="B8887" s="4" t="n">
        <v>2350</v>
      </c>
      <c r="C8887" s="4" t="n">
        <v>111</v>
      </c>
      <c r="D8887" s="4" t="n">
        <v>33.5775</v>
      </c>
      <c r="E8887" s="5" t="n">
        <v>70</v>
      </c>
      <c r="F8887" s="3" t="inlineStr">
        <is>
          <t>강내면</t>
        </is>
      </c>
      <c r="G8887" s="3" t="inlineStr">
        <is>
          <t>저산리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강내면</t>
        </is>
      </c>
    </row>
    <row r="8888">
      <c r="A8888" s="3" t="n">
        <v>2023</v>
      </c>
      <c r="B8888" s="4" t="n">
        <v>4720</v>
      </c>
      <c r="C8888" s="4" t="n">
        <v>223</v>
      </c>
      <c r="D8888" s="4" t="n">
        <v>67.4575</v>
      </c>
      <c r="E8888" s="5" t="n">
        <v>70</v>
      </c>
      <c r="F8888" s="3" t="inlineStr">
        <is>
          <t>강내면</t>
        </is>
      </c>
      <c r="G8888" s="3" t="inlineStr">
        <is>
          <t>저산리</t>
        </is>
      </c>
      <c r="H8888" s="3" t="inlineStr">
        <is>
          <t>계획관리지역</t>
        </is>
      </c>
      <c r="I8888" s="3" t="inlineStr">
        <is>
          <t>임야</t>
        </is>
      </c>
      <c r="J8888" s="3" t="inlineStr">
        <is>
          <t>강내면</t>
        </is>
      </c>
    </row>
    <row r="8889">
      <c r="A8889" s="3" t="n">
        <v>2023</v>
      </c>
      <c r="B8889" s="4" t="n">
        <v>572</v>
      </c>
      <c r="C8889" s="4" t="n">
        <v>27</v>
      </c>
      <c r="D8889" s="4" t="n">
        <v>8.1675</v>
      </c>
      <c r="E8889" s="5" t="n">
        <v>70</v>
      </c>
      <c r="F8889" s="3" t="inlineStr">
        <is>
          <t>강내면</t>
        </is>
      </c>
      <c r="G8889" s="3" t="inlineStr">
        <is>
          <t>저산리</t>
        </is>
      </c>
      <c r="H8889" s="3" t="inlineStr">
        <is>
          <t>계획관리지역</t>
        </is>
      </c>
      <c r="I8889" s="3" t="inlineStr">
        <is>
          <t>전</t>
        </is>
      </c>
      <c r="J8889" s="3" t="inlineStr">
        <is>
          <t>강내면</t>
        </is>
      </c>
    </row>
    <row r="8890">
      <c r="A8890" s="3" t="n">
        <v>2023</v>
      </c>
      <c r="B8890" s="4" t="n">
        <v>3048</v>
      </c>
      <c r="C8890" s="4" t="n">
        <v>144</v>
      </c>
      <c r="D8890" s="4" t="n">
        <v>43.56</v>
      </c>
      <c r="E8890" s="5" t="n">
        <v>70</v>
      </c>
      <c r="F8890" s="3" t="inlineStr">
        <is>
          <t>강내면</t>
        </is>
      </c>
      <c r="G8890" s="3" t="inlineStr">
        <is>
          <t>저산리</t>
        </is>
      </c>
      <c r="H8890" s="3" t="inlineStr">
        <is>
          <t>계획관리지역</t>
        </is>
      </c>
      <c r="I8890" s="3" t="inlineStr">
        <is>
          <t>도로</t>
        </is>
      </c>
      <c r="J8890" s="3" t="inlineStr">
        <is>
          <t>강내면</t>
        </is>
      </c>
    </row>
    <row r="8891">
      <c r="A8891" s="3" t="n">
        <v>2023</v>
      </c>
      <c r="B8891" s="4" t="n">
        <v>55000</v>
      </c>
      <c r="C8891" s="4" t="n">
        <v>1155</v>
      </c>
      <c r="D8891" s="4" t="n">
        <v>349.3875</v>
      </c>
      <c r="E8891" s="5" t="n">
        <v>157.4</v>
      </c>
      <c r="F8891" s="3" t="inlineStr">
        <is>
          <t>오송읍</t>
        </is>
      </c>
      <c r="G8891" s="3" t="inlineStr">
        <is>
          <t>만수리</t>
        </is>
      </c>
      <c r="H8891" s="3" t="inlineStr">
        <is>
          <t>농림지역</t>
        </is>
      </c>
      <c r="I8891" s="3" t="inlineStr">
        <is>
          <t>답</t>
        </is>
      </c>
      <c r="J8891" s="3" t="inlineStr">
        <is>
          <t>오송읍</t>
        </is>
      </c>
    </row>
    <row r="8892">
      <c r="A8892" s="3" t="n">
        <v>2023</v>
      </c>
      <c r="B8892" s="4" t="n">
        <v>28000</v>
      </c>
      <c r="C8892" s="4" t="n">
        <v>592</v>
      </c>
      <c r="D8892" s="4" t="n">
        <v>179.08</v>
      </c>
      <c r="E8892" s="5" t="n">
        <v>156.4</v>
      </c>
      <c r="F8892" s="3" t="inlineStr">
        <is>
          <t>오송읍</t>
        </is>
      </c>
      <c r="G8892" s="3" t="inlineStr">
        <is>
          <t>정중리</t>
        </is>
      </c>
      <c r="H8892" s="3" t="inlineStr">
        <is>
          <t>보전관리지역</t>
        </is>
      </c>
      <c r="I8892" s="3" t="inlineStr">
        <is>
          <t>임야</t>
        </is>
      </c>
      <c r="J8892" s="3" t="inlineStr">
        <is>
          <t>오송읍</t>
        </is>
      </c>
    </row>
    <row r="8893">
      <c r="A8893" s="3" t="n">
        <v>2023</v>
      </c>
      <c r="B8893" s="4" t="n">
        <v>137000</v>
      </c>
      <c r="C8893" s="4" t="n">
        <v>3306</v>
      </c>
      <c r="D8893" s="4" t="n">
        <v>1000.065</v>
      </c>
      <c r="E8893" s="5" t="n">
        <v>137</v>
      </c>
      <c r="F8893" s="3" t="inlineStr">
        <is>
          <t>강내면</t>
        </is>
      </c>
      <c r="G8893" s="3" t="inlineStr">
        <is>
          <t>태성리</t>
        </is>
      </c>
      <c r="H8893" s="3" t="inlineStr">
        <is>
          <t>계획관리지역</t>
        </is>
      </c>
      <c r="I8893" s="3" t="inlineStr">
        <is>
          <t>답</t>
        </is>
      </c>
      <c r="J8893" s="3" t="inlineStr">
        <is>
          <t>강내면</t>
        </is>
      </c>
    </row>
    <row r="8894">
      <c r="A8894" s="3" t="n">
        <v>2023</v>
      </c>
      <c r="B8894" s="4" t="n">
        <v>21913</v>
      </c>
      <c r="C8894" s="4" t="n">
        <v>360</v>
      </c>
      <c r="D8894" s="4" t="n">
        <v>108.9</v>
      </c>
      <c r="E8894" s="5" t="n">
        <v>201.2</v>
      </c>
      <c r="F8894" s="3" t="inlineStr">
        <is>
          <t>오송읍</t>
        </is>
      </c>
      <c r="G8894" s="3" t="inlineStr">
        <is>
          <t>정중리</t>
        </is>
      </c>
      <c r="H8894" s="3" t="inlineStr">
        <is>
          <t>생산관리지역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2023</v>
      </c>
      <c r="B8895" s="4" t="n">
        <v>21913</v>
      </c>
      <c r="C8895" s="4" t="n">
        <v>360</v>
      </c>
      <c r="D8895" s="4" t="n">
        <v>108.9</v>
      </c>
      <c r="E8895" s="5" t="n">
        <v>201.2</v>
      </c>
      <c r="F8895" s="3" t="inlineStr">
        <is>
          <t>오송읍</t>
        </is>
      </c>
      <c r="G8895" s="3" t="inlineStr">
        <is>
          <t>정중리</t>
        </is>
      </c>
      <c r="H8895" s="3" t="inlineStr">
        <is>
          <t>생산관리지역</t>
        </is>
      </c>
      <c r="I8895" s="3" t="inlineStr">
        <is>
          <t>전</t>
        </is>
      </c>
      <c r="J8895" s="3" t="inlineStr">
        <is>
          <t>오송읍</t>
        </is>
      </c>
    </row>
    <row r="8896">
      <c r="A8896" s="3" t="n">
        <v>2026</v>
      </c>
      <c r="B8896" s="4" t="n">
        <v>117000</v>
      </c>
      <c r="C8896" s="4" t="n">
        <v>2407</v>
      </c>
      <c r="D8896" s="4" t="n">
        <v>728.1174999999999</v>
      </c>
      <c r="E8896" s="5" t="n">
        <v>160.7</v>
      </c>
      <c r="F8896" s="3" t="inlineStr">
        <is>
          <t>강내면</t>
        </is>
      </c>
      <c r="G8896" s="3" t="inlineStr">
        <is>
          <t>월곡리</t>
        </is>
      </c>
      <c r="H8896" s="3" t="inlineStr">
        <is>
          <t>자연녹지지역</t>
        </is>
      </c>
      <c r="I8896" s="3" t="inlineStr">
        <is>
          <t>전</t>
        </is>
      </c>
      <c r="J8896" s="3" t="inlineStr">
        <is>
          <t>강내면</t>
        </is>
      </c>
    </row>
    <row r="8897">
      <c r="A8897" s="3" t="n">
        <v>2026</v>
      </c>
      <c r="B8897" s="4" t="n">
        <v>4000</v>
      </c>
      <c r="C8897" s="4" t="n">
        <v>119</v>
      </c>
      <c r="D8897" s="4" t="n">
        <v>35.9975</v>
      </c>
      <c r="E8897" s="5" t="n">
        <v>111.1</v>
      </c>
      <c r="F8897" s="3" t="inlineStr">
        <is>
          <t>강내면</t>
        </is>
      </c>
      <c r="G8897" s="3" t="inlineStr">
        <is>
          <t>학천리</t>
        </is>
      </c>
      <c r="H8897" s="3" t="inlineStr">
        <is>
          <t>자연녹지지역</t>
        </is>
      </c>
      <c r="I8897" s="3" t="inlineStr">
        <is>
          <t>임야</t>
        </is>
      </c>
      <c r="J8897" s="3" t="inlineStr">
        <is>
          <t>강내면</t>
        </is>
      </c>
    </row>
    <row r="8898">
      <c r="A8898" s="3" t="n">
        <v>2023</v>
      </c>
      <c r="B8898" s="4" t="n">
        <v>34047</v>
      </c>
      <c r="C8898" s="4" t="n">
        <v>566</v>
      </c>
      <c r="D8898" s="4" t="n">
        <v>171.215</v>
      </c>
      <c r="E8898" s="5" t="n">
        <v>198.9</v>
      </c>
      <c r="F8898" s="3" t="inlineStr">
        <is>
          <t>오송읍</t>
        </is>
      </c>
      <c r="G8898" s="3" t="inlineStr">
        <is>
          <t>정중리</t>
        </is>
      </c>
      <c r="H8898" s="3" t="inlineStr">
        <is>
          <t>생산관리지역</t>
        </is>
      </c>
      <c r="I8898" s="3" t="inlineStr">
        <is>
          <t>임야</t>
        </is>
      </c>
      <c r="J8898" s="3" t="inlineStr">
        <is>
          <t>오송읍</t>
        </is>
      </c>
    </row>
    <row r="8899">
      <c r="A8899" s="3" t="n">
        <v>2023</v>
      </c>
      <c r="B8899" s="4" t="n">
        <v>28303</v>
      </c>
      <c r="C8899" s="4" t="n">
        <v>514</v>
      </c>
      <c r="D8899" s="4" t="n">
        <v>155.485</v>
      </c>
      <c r="E8899" s="5" t="n">
        <v>182</v>
      </c>
      <c r="F8899" s="3" t="inlineStr">
        <is>
          <t>오송읍</t>
        </is>
      </c>
      <c r="G8899" s="3" t="inlineStr">
        <is>
          <t>정중리</t>
        </is>
      </c>
      <c r="H8899" s="3" t="inlineStr">
        <is>
          <t>생산관리지역</t>
        </is>
      </c>
      <c r="I8899" s="3" t="inlineStr">
        <is>
          <t>임야</t>
        </is>
      </c>
      <c r="J8899" s="3" t="inlineStr">
        <is>
          <t>오송읍</t>
        </is>
      </c>
    </row>
    <row r="8900">
      <c r="A8900" s="3" t="n">
        <v>2023</v>
      </c>
      <c r="B8900" s="4" t="n">
        <v>39152</v>
      </c>
      <c r="C8900" s="4" t="n">
        <v>600</v>
      </c>
      <c r="D8900" s="4" t="n">
        <v>181.5</v>
      </c>
      <c r="E8900" s="5" t="n">
        <v>215.7</v>
      </c>
      <c r="F8900" s="3" t="inlineStr">
        <is>
          <t>오송읍</t>
        </is>
      </c>
      <c r="G8900" s="3" t="inlineStr">
        <is>
          <t>정중리</t>
        </is>
      </c>
      <c r="H8900" s="3" t="inlineStr">
        <is>
          <t>생산관리지역</t>
        </is>
      </c>
      <c r="I8900" s="3" t="inlineStr">
        <is>
          <t>임야</t>
        </is>
      </c>
      <c r="J8900" s="3" t="inlineStr">
        <is>
          <t>오송읍</t>
        </is>
      </c>
    </row>
    <row r="8901">
      <c r="A8901" s="3" t="n">
        <v>2023</v>
      </c>
      <c r="B8901" s="4" t="n">
        <v>24070</v>
      </c>
      <c r="C8901" s="4" t="n">
        <v>351</v>
      </c>
      <c r="D8901" s="4" t="n">
        <v>106.1775</v>
      </c>
      <c r="E8901" s="5" t="n">
        <v>226.7</v>
      </c>
      <c r="F8901" s="3" t="inlineStr">
        <is>
          <t>오송읍</t>
        </is>
      </c>
      <c r="G8901" s="3" t="inlineStr">
        <is>
          <t>정중리</t>
        </is>
      </c>
      <c r="H8901" s="3" t="inlineStr">
        <is>
          <t>생산관리지역</t>
        </is>
      </c>
      <c r="I8901" s="3" t="inlineStr">
        <is>
          <t>임야</t>
        </is>
      </c>
      <c r="J8901" s="3" t="inlineStr">
        <is>
          <t>오송읍</t>
        </is>
      </c>
    </row>
    <row r="8902">
      <c r="A8902" s="3" t="n">
        <v>2023</v>
      </c>
      <c r="B8902" s="4" t="n">
        <v>5042</v>
      </c>
      <c r="C8902" s="4" t="n">
        <v>85</v>
      </c>
      <c r="D8902" s="4" t="n">
        <v>25.7125</v>
      </c>
      <c r="E8902" s="5" t="n">
        <v>196.1</v>
      </c>
      <c r="F8902" s="3" t="inlineStr">
        <is>
          <t>오송읍</t>
        </is>
      </c>
      <c r="G8902" s="3" t="inlineStr">
        <is>
          <t>정중리</t>
        </is>
      </c>
      <c r="H8902" s="3" t="inlineStr">
        <is>
          <t>계획관리지역</t>
        </is>
      </c>
      <c r="I8902" s="3" t="inlineStr">
        <is>
          <t>전</t>
        </is>
      </c>
      <c r="J8902" s="3" t="inlineStr">
        <is>
          <t>오송읍</t>
        </is>
      </c>
    </row>
    <row r="8903">
      <c r="A8903" s="3" t="n">
        <v>2023</v>
      </c>
      <c r="B8903" s="4" t="n">
        <v>1138</v>
      </c>
      <c r="C8903" s="4" t="n">
        <v>23</v>
      </c>
      <c r="D8903" s="4" t="n">
        <v>6.9575</v>
      </c>
      <c r="E8903" s="5" t="n">
        <v>163.6</v>
      </c>
      <c r="F8903" s="3" t="inlineStr">
        <is>
          <t>오송읍</t>
        </is>
      </c>
      <c r="G8903" s="3" t="inlineStr">
        <is>
          <t>정중리</t>
        </is>
      </c>
      <c r="H8903" s="3" t="inlineStr">
        <is>
          <t>생산관리지역</t>
        </is>
      </c>
      <c r="I8903" s="3" t="inlineStr">
        <is>
          <t>대</t>
        </is>
      </c>
      <c r="J8903" s="3" t="inlineStr">
        <is>
          <t>오송읍</t>
        </is>
      </c>
    </row>
    <row r="8904">
      <c r="A8904" s="3" t="n">
        <v>2022</v>
      </c>
      <c r="B8904" s="4" t="n">
        <v>500</v>
      </c>
      <c r="C8904" s="4" t="n">
        <v>251</v>
      </c>
      <c r="D8904" s="4" t="n">
        <v>75.92749999999999</v>
      </c>
      <c r="E8904" s="5" t="n">
        <v>6.6</v>
      </c>
      <c r="F8904" s="3" t="inlineStr">
        <is>
          <t>유구읍</t>
        </is>
      </c>
      <c r="G8904" s="3" t="inlineStr">
        <is>
          <t>세동리</t>
        </is>
      </c>
      <c r="H8904" s="3" t="inlineStr">
        <is>
          <t>계획관리지역</t>
        </is>
      </c>
      <c r="I8904" s="3" t="inlineStr">
        <is>
          <t>답</t>
        </is>
      </c>
      <c r="J8904" s="3" t="inlineStr">
        <is>
          <t>유구읍</t>
        </is>
      </c>
    </row>
    <row r="8905">
      <c r="A8905" s="3" t="n">
        <v>2022</v>
      </c>
      <c r="B8905" s="4" t="n">
        <v>1744</v>
      </c>
      <c r="C8905" s="4" t="n">
        <v>131</v>
      </c>
      <c r="D8905" s="4" t="n">
        <v>39.6275</v>
      </c>
      <c r="E8905" s="5" t="n">
        <v>44</v>
      </c>
      <c r="F8905" s="3" t="inlineStr">
        <is>
          <t>유구읍</t>
        </is>
      </c>
      <c r="G8905" s="3" t="inlineStr">
        <is>
          <t>녹천리</t>
        </is>
      </c>
      <c r="H8905" s="3" t="inlineStr">
        <is>
          <t>제2종일반주거지역</t>
        </is>
      </c>
      <c r="I8905" s="3" t="inlineStr">
        <is>
          <t>답</t>
        </is>
      </c>
      <c r="J8905" s="3" t="inlineStr">
        <is>
          <t>유구읍</t>
        </is>
      </c>
    </row>
    <row r="8906">
      <c r="A8906" s="3" t="n">
        <v>2026</v>
      </c>
      <c r="B8906" s="4" t="n">
        <v>5500</v>
      </c>
      <c r="C8906" s="4" t="n">
        <v>1177</v>
      </c>
      <c r="D8906" s="4" t="n">
        <v>356.0425</v>
      </c>
      <c r="E8906" s="5" t="n">
        <v>15.4</v>
      </c>
      <c r="F8906" s="3" t="inlineStr">
        <is>
          <t>유구읍</t>
        </is>
      </c>
      <c r="G8906" s="3" t="inlineStr">
        <is>
          <t>백교리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유구읍</t>
        </is>
      </c>
    </row>
    <row r="8907">
      <c r="A8907" s="3" t="n">
        <v>2025</v>
      </c>
      <c r="B8907" s="4" t="n">
        <v>250</v>
      </c>
      <c r="C8907" s="4" t="n">
        <v>826</v>
      </c>
      <c r="D8907" s="4" t="n">
        <v>249.865</v>
      </c>
      <c r="E8907" s="5" t="n">
        <v>1</v>
      </c>
      <c r="F8907" s="3" t="inlineStr">
        <is>
          <t>유구읍</t>
        </is>
      </c>
      <c r="G8907" s="3" t="inlineStr">
        <is>
          <t>노동리</t>
        </is>
      </c>
      <c r="H8907" s="3" t="inlineStr">
        <is>
          <t>계획관리지역</t>
        </is>
      </c>
      <c r="I8907" s="3" t="inlineStr">
        <is>
          <t>임야</t>
        </is>
      </c>
      <c r="J8907" s="3" t="inlineStr">
        <is>
          <t>유구읍</t>
        </is>
      </c>
    </row>
    <row r="8908">
      <c r="A8908" s="3" t="n">
        <v>2025</v>
      </c>
      <c r="B8908" s="4" t="n">
        <v>640</v>
      </c>
      <c r="C8908" s="4" t="n">
        <v>53</v>
      </c>
      <c r="D8908" s="4" t="n">
        <v>16.0325</v>
      </c>
      <c r="E8908" s="5" t="n">
        <v>39.9</v>
      </c>
      <c r="F8908" s="3" t="inlineStr">
        <is>
          <t>유구읍</t>
        </is>
      </c>
      <c r="G8908" s="3" t="inlineStr">
        <is>
          <t>석남리</t>
        </is>
      </c>
      <c r="H8908" s="3" t="inlineStr">
        <is>
          <t>제2종일반주거지역</t>
        </is>
      </c>
      <c r="I8908" s="3" t="inlineStr">
        <is>
          <t>대</t>
        </is>
      </c>
      <c r="J8908" s="3" t="inlineStr">
        <is>
          <t>유구읍</t>
        </is>
      </c>
    </row>
    <row r="8909">
      <c r="A8909" s="3" t="n">
        <v>2025</v>
      </c>
      <c r="B8909" s="4" t="n">
        <v>2000</v>
      </c>
      <c r="C8909" s="4" t="n">
        <v>735</v>
      </c>
      <c r="D8909" s="4" t="n">
        <v>222.3375</v>
      </c>
      <c r="E8909" s="5" t="n">
        <v>9</v>
      </c>
      <c r="F8909" s="3" t="inlineStr">
        <is>
          <t>유구읍</t>
        </is>
      </c>
      <c r="G8909" s="3" t="inlineStr">
        <is>
          <t>만천리</t>
        </is>
      </c>
      <c r="H8909" s="3" t="inlineStr">
        <is>
          <t>농림지역</t>
        </is>
      </c>
      <c r="I8909" s="3" t="inlineStr">
        <is>
          <t>답</t>
        </is>
      </c>
      <c r="J8909" s="3" t="inlineStr">
        <is>
          <t>유구읍</t>
        </is>
      </c>
    </row>
    <row r="8910">
      <c r="A8910" s="3" t="n">
        <v>2025</v>
      </c>
      <c r="B8910" s="4" t="n">
        <v>8900</v>
      </c>
      <c r="C8910" s="4" t="n">
        <v>3273</v>
      </c>
      <c r="D8910" s="4" t="n">
        <v>990.0825</v>
      </c>
      <c r="E8910" s="5" t="n">
        <v>9</v>
      </c>
      <c r="F8910" s="3" t="inlineStr">
        <is>
          <t>유구읍</t>
        </is>
      </c>
      <c r="G8910" s="3" t="inlineStr">
        <is>
          <t>만천리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유구읍</t>
        </is>
      </c>
    </row>
    <row r="8911">
      <c r="A8911" s="3" t="n">
        <v>2025</v>
      </c>
      <c r="B8911" s="4" t="n">
        <v>614</v>
      </c>
      <c r="C8911" s="4" t="n">
        <v>86</v>
      </c>
      <c r="D8911" s="4" t="n">
        <v>26.015</v>
      </c>
      <c r="E8911" s="5" t="n">
        <v>23.6</v>
      </c>
      <c r="F8911" s="3" t="inlineStr">
        <is>
          <t>유구읍</t>
        </is>
      </c>
      <c r="G8911" s="3" t="inlineStr">
        <is>
          <t>신달리</t>
        </is>
      </c>
      <c r="H8911" s="3" t="inlineStr">
        <is>
          <t>일반상업지역</t>
        </is>
      </c>
      <c r="I8911" s="3" t="inlineStr">
        <is>
          <t>대</t>
        </is>
      </c>
      <c r="J8911" s="3" t="inlineStr">
        <is>
          <t>유구읍</t>
        </is>
      </c>
    </row>
    <row r="8912">
      <c r="A8912" s="3" t="n">
        <v>2025</v>
      </c>
      <c r="B8912" s="4" t="n">
        <v>2200</v>
      </c>
      <c r="C8912" s="4" t="n">
        <v>936</v>
      </c>
      <c r="D8912" s="4" t="n">
        <v>283.14</v>
      </c>
      <c r="E8912" s="5" t="n">
        <v>7.8</v>
      </c>
      <c r="F8912" s="3" t="inlineStr">
        <is>
          <t>유구읍</t>
        </is>
      </c>
      <c r="G8912" s="3" t="inlineStr">
        <is>
          <t>탑곡리</t>
        </is>
      </c>
      <c r="H8912" s="3" t="inlineStr">
        <is>
          <t>계획관리지역</t>
        </is>
      </c>
      <c r="I8912" s="3" t="inlineStr">
        <is>
          <t>전</t>
        </is>
      </c>
      <c r="J8912" s="3" t="inlineStr">
        <is>
          <t>유구읍</t>
        </is>
      </c>
    </row>
    <row r="8913">
      <c r="A8913" s="3" t="n">
        <v>2025</v>
      </c>
      <c r="B8913" s="4" t="n">
        <v>3700</v>
      </c>
      <c r="C8913" s="4" t="n">
        <v>896</v>
      </c>
      <c r="D8913" s="4" t="n">
        <v>271.04</v>
      </c>
      <c r="E8913" s="5" t="n">
        <v>13.7</v>
      </c>
      <c r="F8913" s="3" t="inlineStr">
        <is>
          <t>유구읍</t>
        </is>
      </c>
      <c r="G8913" s="3" t="inlineStr">
        <is>
          <t>탑곡리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유구읍</t>
        </is>
      </c>
    </row>
    <row r="8914">
      <c r="A8914" s="3" t="n">
        <v>2025</v>
      </c>
      <c r="B8914" s="4" t="n">
        <v>1300</v>
      </c>
      <c r="C8914" s="4" t="n">
        <v>942</v>
      </c>
      <c r="D8914" s="4" t="n">
        <v>284.955</v>
      </c>
      <c r="E8914" s="5" t="n">
        <v>4.6</v>
      </c>
      <c r="F8914" s="3" t="inlineStr">
        <is>
          <t>유구읍</t>
        </is>
      </c>
      <c r="G8914" s="3" t="inlineStr">
        <is>
          <t>세동리</t>
        </is>
      </c>
      <c r="H8914" s="3" t="inlineStr">
        <is>
          <t>생산관리지역</t>
        </is>
      </c>
      <c r="I8914" s="3" t="inlineStr">
        <is>
          <t>전</t>
        </is>
      </c>
      <c r="J8914" s="3" t="inlineStr">
        <is>
          <t>유구읍</t>
        </is>
      </c>
    </row>
    <row r="8915">
      <c r="A8915" s="3" t="n">
        <v>2025</v>
      </c>
      <c r="B8915" s="4" t="n">
        <v>2696</v>
      </c>
      <c r="C8915" s="4" t="n">
        <v>337</v>
      </c>
      <c r="D8915" s="4" t="n">
        <v>101.9425</v>
      </c>
      <c r="E8915" s="5" t="n">
        <v>26.4</v>
      </c>
      <c r="F8915" s="3" t="inlineStr">
        <is>
          <t>유구읍</t>
        </is>
      </c>
      <c r="G8915" s="3" t="inlineStr">
        <is>
          <t>녹천리</t>
        </is>
      </c>
      <c r="H8915" s="3" t="inlineStr">
        <is>
          <t>일반상업지역</t>
        </is>
      </c>
      <c r="I8915" s="3" t="inlineStr">
        <is>
          <t>전</t>
        </is>
      </c>
      <c r="J8915" s="3" t="inlineStr">
        <is>
          <t>유구읍</t>
        </is>
      </c>
    </row>
    <row r="8916">
      <c r="A8916" s="3" t="n">
        <v>2024</v>
      </c>
      <c r="B8916" s="4" t="n">
        <v>3185</v>
      </c>
      <c r="C8916" s="4" t="n">
        <v>566</v>
      </c>
      <c r="D8916" s="4" t="n">
        <v>171.215</v>
      </c>
      <c r="E8916" s="5" t="n">
        <v>18.6</v>
      </c>
      <c r="F8916" s="3" t="inlineStr">
        <is>
          <t>유구읍</t>
        </is>
      </c>
      <c r="G8916" s="3" t="inlineStr">
        <is>
          <t>신영리</t>
        </is>
      </c>
      <c r="H8916" s="3" t="inlineStr">
        <is>
          <t>농림지역</t>
        </is>
      </c>
      <c r="I8916" s="3" t="inlineStr">
        <is>
          <t>전</t>
        </is>
      </c>
      <c r="J8916" s="3" t="inlineStr">
        <is>
          <t>유구읍</t>
        </is>
      </c>
    </row>
    <row r="8917">
      <c r="A8917" s="3" t="n">
        <v>2024</v>
      </c>
      <c r="B8917" s="4" t="n">
        <v>114</v>
      </c>
      <c r="C8917" s="4" t="n">
        <v>63</v>
      </c>
      <c r="D8917" s="4" t="n">
        <v>19.0575</v>
      </c>
      <c r="E8917" s="5" t="n">
        <v>6</v>
      </c>
      <c r="F8917" s="3" t="inlineStr">
        <is>
          <t>유구읍</t>
        </is>
      </c>
      <c r="G8917" s="3" t="inlineStr">
        <is>
          <t>신영리</t>
        </is>
      </c>
      <c r="H8917" s="3" t="inlineStr">
        <is>
          <t>농림지역</t>
        </is>
      </c>
      <c r="I8917" s="3" t="inlineStr">
        <is>
          <t>전</t>
        </is>
      </c>
      <c r="J8917" s="3" t="inlineStr">
        <is>
          <t>유구읍</t>
        </is>
      </c>
    </row>
    <row r="8918">
      <c r="A8918" s="3" t="n">
        <v>2024</v>
      </c>
      <c r="B8918" s="4" t="n">
        <v>11000</v>
      </c>
      <c r="C8918" s="4" t="n">
        <v>3882</v>
      </c>
      <c r="D8918" s="4" t="n">
        <v>1174.305</v>
      </c>
      <c r="E8918" s="5" t="n">
        <v>9.4</v>
      </c>
      <c r="F8918" s="3" t="inlineStr">
        <is>
          <t>유구읍</t>
        </is>
      </c>
      <c r="G8918" s="3" t="inlineStr">
        <is>
          <t>유구리</t>
        </is>
      </c>
      <c r="H8918" s="3" t="inlineStr">
        <is>
          <t>일반상업지역</t>
        </is>
      </c>
      <c r="I8918" s="3" t="inlineStr">
        <is>
          <t>대</t>
        </is>
      </c>
      <c r="J8918" s="3" t="inlineStr">
        <is>
          <t>유구읍</t>
        </is>
      </c>
    </row>
    <row r="8919">
      <c r="A8919" s="3" t="n">
        <v>2024</v>
      </c>
      <c r="B8919" s="4" t="n">
        <v>14700</v>
      </c>
      <c r="C8919" s="4" t="n">
        <v>2026</v>
      </c>
      <c r="D8919" s="4" t="n">
        <v>612.865</v>
      </c>
      <c r="E8919" s="5" t="n">
        <v>24</v>
      </c>
      <c r="F8919" s="3" t="inlineStr">
        <is>
          <t>유구읍</t>
        </is>
      </c>
      <c r="G8919" s="3" t="inlineStr">
        <is>
          <t>백교리</t>
        </is>
      </c>
      <c r="H8919" s="3" t="inlineStr">
        <is>
          <t>자연녹지지역</t>
        </is>
      </c>
      <c r="I8919" s="3" t="inlineStr">
        <is>
          <t>답</t>
        </is>
      </c>
      <c r="J8919" s="3" t="inlineStr">
        <is>
          <t>유구읍</t>
        </is>
      </c>
    </row>
    <row r="8920">
      <c r="A8920" s="3" t="n">
        <v>2024</v>
      </c>
      <c r="B8920" s="4" t="n">
        <v>2100</v>
      </c>
      <c r="C8920" s="4" t="n">
        <v>71</v>
      </c>
      <c r="D8920" s="4" t="n">
        <v>21.4775</v>
      </c>
      <c r="E8920" s="5" t="n">
        <v>97.8</v>
      </c>
      <c r="F8920" s="3" t="inlineStr">
        <is>
          <t>유구읍</t>
        </is>
      </c>
      <c r="G8920" s="3" t="inlineStr">
        <is>
          <t>유구리</t>
        </is>
      </c>
      <c r="H8920" s="3" t="inlineStr">
        <is>
          <t>자연녹지지역</t>
        </is>
      </c>
      <c r="I8920" s="3" t="inlineStr">
        <is>
          <t>잡종지</t>
        </is>
      </c>
      <c r="J8920" s="3" t="inlineStr">
        <is>
          <t>유구읍</t>
        </is>
      </c>
    </row>
    <row r="8921">
      <c r="A8921" s="3" t="n">
        <v>2024</v>
      </c>
      <c r="B8921" s="4" t="n">
        <v>3800</v>
      </c>
      <c r="C8921" s="4" t="n">
        <v>2023</v>
      </c>
      <c r="D8921" s="4" t="n">
        <v>611.9575</v>
      </c>
      <c r="E8921" s="5" t="n">
        <v>6.2</v>
      </c>
      <c r="F8921" s="3" t="inlineStr">
        <is>
          <t>유구읍</t>
        </is>
      </c>
      <c r="G8921" s="3" t="inlineStr">
        <is>
          <t>유구리</t>
        </is>
      </c>
      <c r="H8921" s="3" t="inlineStr">
        <is>
          <t>계획관리지역</t>
        </is>
      </c>
      <c r="I8921" s="3" t="inlineStr">
        <is>
          <t>답</t>
        </is>
      </c>
      <c r="J8921" s="3" t="inlineStr">
        <is>
          <t>유구읍</t>
        </is>
      </c>
    </row>
    <row r="8922">
      <c r="A8922" s="3" t="n">
        <v>2025</v>
      </c>
      <c r="B8922" s="4" t="n">
        <v>364</v>
      </c>
      <c r="C8922" s="4" t="n">
        <v>17</v>
      </c>
      <c r="D8922" s="4" t="n">
        <v>5.1425</v>
      </c>
      <c r="E8922" s="5" t="n">
        <v>70.8</v>
      </c>
      <c r="F8922" s="3" t="inlineStr">
        <is>
          <t>오송읍</t>
        </is>
      </c>
      <c r="G8922" s="3" t="inlineStr">
        <is>
          <t>공북리</t>
        </is>
      </c>
      <c r="H8922" s="3" t="inlineStr">
        <is>
          <t>농림지역</t>
        </is>
      </c>
      <c r="I8922" s="3" t="inlineStr">
        <is>
          <t>도로</t>
        </is>
      </c>
      <c r="J8922" s="3" t="inlineStr">
        <is>
          <t>오송읍</t>
        </is>
      </c>
    </row>
    <row r="8923">
      <c r="A8923" s="3" t="n">
        <v>2025</v>
      </c>
      <c r="B8923" s="4" t="n">
        <v>38000</v>
      </c>
      <c r="C8923" s="4" t="n">
        <v>232</v>
      </c>
      <c r="D8923" s="4" t="n">
        <v>70.17999999999999</v>
      </c>
      <c r="E8923" s="5" t="n">
        <v>541.5</v>
      </c>
      <c r="F8923" s="3" t="inlineStr">
        <is>
          <t>오송읍</t>
        </is>
      </c>
      <c r="G8923" s="3" t="inlineStr">
        <is>
          <t>오송리</t>
        </is>
      </c>
      <c r="H8923" s="3" t="inlineStr">
        <is>
          <t>제1종일반주거지역</t>
        </is>
      </c>
      <c r="I8923" s="3" t="inlineStr">
        <is>
          <t>대</t>
        </is>
      </c>
      <c r="J8923" s="3" t="inlineStr">
        <is>
          <t>오송읍</t>
        </is>
      </c>
    </row>
    <row r="8924">
      <c r="A8924" s="3" t="n">
        <v>2025</v>
      </c>
      <c r="B8924" s="4" t="n">
        <v>42000</v>
      </c>
      <c r="C8924" s="4" t="n">
        <v>2668</v>
      </c>
      <c r="D8924" s="4" t="n">
        <v>807.0699999999999</v>
      </c>
      <c r="E8924" s="5" t="n">
        <v>52</v>
      </c>
      <c r="F8924" s="3" t="inlineStr">
        <is>
          <t>오송읍</t>
        </is>
      </c>
      <c r="G8924" s="3" t="inlineStr">
        <is>
          <t>서평리</t>
        </is>
      </c>
      <c r="H8924" s="3" t="inlineStr">
        <is>
          <t>농림지역</t>
        </is>
      </c>
      <c r="I8924" s="3" t="inlineStr">
        <is>
          <t>답</t>
        </is>
      </c>
      <c r="J8924" s="3" t="inlineStr">
        <is>
          <t>오송읍</t>
        </is>
      </c>
    </row>
    <row r="8925">
      <c r="A8925" s="3" t="n">
        <v>2025</v>
      </c>
      <c r="B8925" s="4" t="n">
        <v>60000</v>
      </c>
      <c r="C8925" s="4" t="n">
        <v>990</v>
      </c>
      <c r="D8925" s="4" t="n">
        <v>299.475</v>
      </c>
      <c r="E8925" s="5" t="n">
        <v>200.4</v>
      </c>
      <c r="F8925" s="3" t="inlineStr">
        <is>
          <t>강내면</t>
        </is>
      </c>
      <c r="G8925" s="3" t="inlineStr">
        <is>
          <t>다락리</t>
        </is>
      </c>
      <c r="H8925" s="3" t="inlineStr">
        <is>
          <t>계획관리지역</t>
        </is>
      </c>
      <c r="I8925" s="3" t="inlineStr">
        <is>
          <t>대</t>
        </is>
      </c>
      <c r="J8925" s="3" t="inlineStr">
        <is>
          <t>강내면</t>
        </is>
      </c>
    </row>
    <row r="8926">
      <c r="A8926" s="3" t="n">
        <v>2025</v>
      </c>
      <c r="B8926" s="4" t="n">
        <v>25000</v>
      </c>
      <c r="C8926" s="4" t="n">
        <v>639</v>
      </c>
      <c r="D8926" s="4" t="n">
        <v>193.2975</v>
      </c>
      <c r="E8926" s="5" t="n">
        <v>129.3</v>
      </c>
      <c r="F8926" s="3" t="inlineStr">
        <is>
          <t>강내면</t>
        </is>
      </c>
      <c r="G8926" s="3" t="inlineStr">
        <is>
          <t>다락리</t>
        </is>
      </c>
      <c r="H8926" s="3" t="inlineStr">
        <is>
          <t>계획관리지역</t>
        </is>
      </c>
      <c r="I8926" s="3" t="inlineStr">
        <is>
          <t>전</t>
        </is>
      </c>
      <c r="J8926" s="3" t="inlineStr">
        <is>
          <t>강내면</t>
        </is>
      </c>
    </row>
    <row r="8927">
      <c r="A8927" s="3" t="n">
        <v>2025</v>
      </c>
      <c r="B8927" s="4" t="n">
        <v>33700</v>
      </c>
      <c r="C8927" s="4" t="n">
        <v>1993</v>
      </c>
      <c r="D8927" s="4" t="n">
        <v>602.8824999999999</v>
      </c>
      <c r="E8927" s="5" t="n">
        <v>55.9</v>
      </c>
      <c r="F8927" s="3" t="inlineStr">
        <is>
          <t>오송읍</t>
        </is>
      </c>
      <c r="G8927" s="3" t="inlineStr">
        <is>
          <t>서평리</t>
        </is>
      </c>
      <c r="H8927" s="3" t="inlineStr">
        <is>
          <t>농림지역</t>
        </is>
      </c>
      <c r="I8927" s="3" t="inlineStr">
        <is>
          <t>답</t>
        </is>
      </c>
      <c r="J8927" s="3" t="inlineStr">
        <is>
          <t>오송읍</t>
        </is>
      </c>
    </row>
    <row r="8928">
      <c r="A8928" s="3" t="n">
        <v>2025</v>
      </c>
      <c r="B8928" s="4" t="n">
        <v>11104</v>
      </c>
      <c r="C8928" s="4" t="n">
        <v>250.6</v>
      </c>
      <c r="D8928" s="4" t="n">
        <v>75.8065</v>
      </c>
      <c r="E8928" s="5" t="n">
        <v>146.5</v>
      </c>
      <c r="F8928" s="3" t="inlineStr">
        <is>
          <t>오송읍</t>
        </is>
      </c>
      <c r="G8928" s="3" t="inlineStr">
        <is>
          <t>오송리</t>
        </is>
      </c>
      <c r="H8928" s="3" t="inlineStr">
        <is>
          <t>제1종일반주거지역</t>
        </is>
      </c>
      <c r="I8928" s="3" t="inlineStr">
        <is>
          <t>대</t>
        </is>
      </c>
      <c r="J8928" s="3" t="inlineStr">
        <is>
          <t>오송읍</t>
        </is>
      </c>
    </row>
    <row r="8929">
      <c r="A8929" s="3" t="n">
        <v>2025</v>
      </c>
      <c r="B8929" s="4" t="n">
        <v>48427</v>
      </c>
      <c r="C8929" s="4" t="n">
        <v>2097</v>
      </c>
      <c r="D8929" s="4" t="n">
        <v>634.3425</v>
      </c>
      <c r="E8929" s="5" t="n">
        <v>76.3</v>
      </c>
      <c r="F8929" s="3" t="inlineStr">
        <is>
          <t>강내면</t>
        </is>
      </c>
      <c r="G8929" s="3" t="inlineStr">
        <is>
          <t>저산리</t>
        </is>
      </c>
      <c r="H8929" s="3" t="inlineStr">
        <is>
          <t>계획관리지역</t>
        </is>
      </c>
      <c r="I8929" s="3" t="inlineStr">
        <is>
          <t>창고용지</t>
        </is>
      </c>
      <c r="J8929" s="3" t="inlineStr">
        <is>
          <t>강내면</t>
        </is>
      </c>
    </row>
    <row r="8930">
      <c r="A8930" s="3" t="n">
        <v>2025</v>
      </c>
      <c r="B8930" s="4" t="n">
        <v>160000</v>
      </c>
      <c r="C8930" s="4" t="n">
        <v>819.4</v>
      </c>
      <c r="D8930" s="4" t="n">
        <v>247.8685</v>
      </c>
      <c r="E8930" s="5" t="n">
        <v>645.5</v>
      </c>
      <c r="F8930" s="3" t="inlineStr">
        <is>
          <t>오송읍</t>
        </is>
      </c>
      <c r="G8930" s="3" t="inlineStr">
        <is>
          <t>연제리</t>
        </is>
      </c>
      <c r="H8930" s="3" t="inlineStr">
        <is>
          <t>일반상업지역</t>
        </is>
      </c>
      <c r="I8930" s="3" t="inlineStr">
        <is>
          <t>대</t>
        </is>
      </c>
      <c r="J8930" s="3" t="inlineStr">
        <is>
          <t>오송읍</t>
        </is>
      </c>
    </row>
    <row r="8931">
      <c r="A8931" s="3" t="n">
        <v>2025</v>
      </c>
      <c r="B8931" s="4" t="n">
        <v>3400</v>
      </c>
      <c r="C8931" s="4" t="n">
        <v>331</v>
      </c>
      <c r="D8931" s="4" t="n">
        <v>100.1275</v>
      </c>
      <c r="E8931" s="5" t="n">
        <v>34</v>
      </c>
      <c r="F8931" s="3" t="inlineStr">
        <is>
          <t>오송읍</t>
        </is>
      </c>
      <c r="G8931" s="3" t="inlineStr">
        <is>
          <t>쌍청리</t>
        </is>
      </c>
      <c r="H8931" s="3" t="inlineStr">
        <is>
          <t>농림지역</t>
        </is>
      </c>
      <c r="I8931" s="3" t="inlineStr">
        <is>
          <t>전</t>
        </is>
      </c>
      <c r="J8931" s="3" t="inlineStr">
        <is>
          <t>오송읍</t>
        </is>
      </c>
    </row>
    <row r="8932">
      <c r="A8932" s="3" t="n">
        <v>2025</v>
      </c>
      <c r="B8932" s="4" t="n">
        <v>270000</v>
      </c>
      <c r="C8932" s="4" t="n">
        <v>4983</v>
      </c>
      <c r="D8932" s="4" t="n">
        <v>1507.3575</v>
      </c>
      <c r="E8932" s="5" t="n">
        <v>179.1</v>
      </c>
      <c r="F8932" s="3" t="inlineStr">
        <is>
          <t>오송읍</t>
        </is>
      </c>
      <c r="G8932" s="3" t="inlineStr">
        <is>
          <t>연제리</t>
        </is>
      </c>
      <c r="H8932" s="3" t="inlineStr">
        <is>
          <t>일반공업지역</t>
        </is>
      </c>
      <c r="I8932" s="3" t="inlineStr">
        <is>
          <t>공장용지</t>
        </is>
      </c>
      <c r="J8932" s="3" t="inlineStr">
        <is>
          <t>오송읍</t>
        </is>
      </c>
    </row>
    <row r="8933">
      <c r="A8933" s="3" t="n">
        <v>2025</v>
      </c>
      <c r="B8933" s="4" t="n">
        <v>1010</v>
      </c>
      <c r="C8933" s="4" t="n">
        <v>54</v>
      </c>
      <c r="D8933" s="4" t="n">
        <v>16.335</v>
      </c>
      <c r="E8933" s="5" t="n">
        <v>61.8</v>
      </c>
      <c r="F8933" s="3" t="inlineStr">
        <is>
          <t>강내면</t>
        </is>
      </c>
      <c r="G8933" s="3" t="inlineStr">
        <is>
          <t>궁현리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3000</v>
      </c>
      <c r="C8934" s="4" t="n">
        <v>65</v>
      </c>
      <c r="D8934" s="4" t="n">
        <v>19.6625</v>
      </c>
      <c r="E8934" s="5" t="n">
        <v>152.6</v>
      </c>
      <c r="F8934" s="3" t="inlineStr">
        <is>
          <t>오송읍</t>
        </is>
      </c>
      <c r="G8934" s="3" t="inlineStr">
        <is>
          <t>동평리</t>
        </is>
      </c>
      <c r="H8934" s="3" t="inlineStr">
        <is>
          <t>계획관리지역</t>
        </is>
      </c>
      <c r="I8934" s="3" t="inlineStr">
        <is>
          <t>대</t>
        </is>
      </c>
      <c r="J8934" s="3" t="inlineStr">
        <is>
          <t>오송읍</t>
        </is>
      </c>
    </row>
    <row r="8935">
      <c r="A8935" s="3" t="n">
        <v>2025</v>
      </c>
      <c r="B8935" s="4" t="n">
        <v>3000</v>
      </c>
      <c r="C8935" s="4" t="n">
        <v>64</v>
      </c>
      <c r="D8935" s="4" t="n">
        <v>19.36</v>
      </c>
      <c r="E8935" s="5" t="n">
        <v>155</v>
      </c>
      <c r="F8935" s="3" t="inlineStr">
        <is>
          <t>오송읍</t>
        </is>
      </c>
      <c r="G8935" s="3" t="inlineStr">
        <is>
          <t>동평리</t>
        </is>
      </c>
      <c r="H8935" s="3" t="inlineStr">
        <is>
          <t>계획관리지역</t>
        </is>
      </c>
      <c r="I8935" s="3" t="inlineStr">
        <is>
          <t>대</t>
        </is>
      </c>
      <c r="J8935" s="3" t="inlineStr">
        <is>
          <t>오송읍</t>
        </is>
      </c>
    </row>
    <row r="8936">
      <c r="A8936" s="3" t="n">
        <v>2025</v>
      </c>
      <c r="B8936" s="4" t="n">
        <v>18000</v>
      </c>
      <c r="C8936" s="4" t="n">
        <v>1200</v>
      </c>
      <c r="D8936" s="4" t="n">
        <v>363</v>
      </c>
      <c r="E8936" s="5" t="n">
        <v>49.6</v>
      </c>
      <c r="F8936" s="3" t="inlineStr">
        <is>
          <t>오송읍</t>
        </is>
      </c>
      <c r="G8936" s="3" t="inlineStr">
        <is>
          <t>정중리</t>
        </is>
      </c>
      <c r="H8936" s="3" t="inlineStr">
        <is>
          <t>농림지역</t>
        </is>
      </c>
      <c r="I8936" s="3" t="inlineStr">
        <is>
          <t>답</t>
        </is>
      </c>
      <c r="J8936" s="3" t="inlineStr">
        <is>
          <t>오송읍</t>
        </is>
      </c>
    </row>
    <row r="8937">
      <c r="A8937" s="3" t="n">
        <v>2023</v>
      </c>
      <c r="B8937" s="4" t="n">
        <v>48</v>
      </c>
      <c r="C8937" s="4" t="n">
        <v>1</v>
      </c>
      <c r="D8937" s="4" t="n">
        <v>0.3025</v>
      </c>
      <c r="E8937" s="5" t="n">
        <v>158.7</v>
      </c>
      <c r="F8937" s="3" t="inlineStr">
        <is>
          <t>오송읍</t>
        </is>
      </c>
      <c r="G8937" s="3" t="inlineStr">
        <is>
          <t>정중리</t>
        </is>
      </c>
      <c r="H8937" s="3" t="inlineStr">
        <is>
          <t>생산관리지역</t>
        </is>
      </c>
      <c r="I8937" s="3" t="inlineStr">
        <is>
          <t>전</t>
        </is>
      </c>
      <c r="J8937" s="3" t="inlineStr">
        <is>
          <t>오송읍</t>
        </is>
      </c>
    </row>
    <row r="8938">
      <c r="A8938" s="3" t="n">
        <v>2023</v>
      </c>
      <c r="B8938" s="4" t="n">
        <v>25163</v>
      </c>
      <c r="C8938" s="4" t="n">
        <v>390</v>
      </c>
      <c r="D8938" s="4" t="n">
        <v>117.975</v>
      </c>
      <c r="E8938" s="5" t="n">
        <v>213.3</v>
      </c>
      <c r="F8938" s="3" t="inlineStr">
        <is>
          <t>오송읍</t>
        </is>
      </c>
      <c r="G8938" s="3" t="inlineStr">
        <is>
          <t>정중리</t>
        </is>
      </c>
      <c r="H8938" s="3" t="inlineStr">
        <is>
          <t>생산관리지역</t>
        </is>
      </c>
      <c r="I8938" s="3" t="inlineStr">
        <is>
          <t>대</t>
        </is>
      </c>
      <c r="J8938" s="3" t="inlineStr">
        <is>
          <t>오송읍</t>
        </is>
      </c>
    </row>
    <row r="8939">
      <c r="A8939" s="3" t="n">
        <v>2023</v>
      </c>
      <c r="B8939" s="4" t="n">
        <v>142</v>
      </c>
      <c r="C8939" s="4" t="n">
        <v>6</v>
      </c>
      <c r="D8939" s="4" t="n">
        <v>1.815</v>
      </c>
      <c r="E8939" s="5" t="n">
        <v>78.2</v>
      </c>
      <c r="F8939" s="3" t="inlineStr">
        <is>
          <t>오송읍</t>
        </is>
      </c>
      <c r="G8939" s="3" t="inlineStr">
        <is>
          <t>정중리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오송읍</t>
        </is>
      </c>
    </row>
    <row r="8940">
      <c r="A8940" s="3" t="n">
        <v>2023</v>
      </c>
      <c r="B8940" s="4" t="n">
        <v>32804</v>
      </c>
      <c r="C8940" s="4" t="n">
        <v>519</v>
      </c>
      <c r="D8940" s="4" t="n">
        <v>156.9975</v>
      </c>
      <c r="E8940" s="5" t="n">
        <v>208.9</v>
      </c>
      <c r="F8940" s="3" t="inlineStr">
        <is>
          <t>오송읍</t>
        </is>
      </c>
      <c r="G8940" s="3" t="inlineStr">
        <is>
          <t>정중리</t>
        </is>
      </c>
      <c r="H8940" s="3" t="inlineStr">
        <is>
          <t>생산관리지역</t>
        </is>
      </c>
      <c r="I8940" s="3" t="inlineStr">
        <is>
          <t>임야</t>
        </is>
      </c>
      <c r="J8940" s="3" t="inlineStr">
        <is>
          <t>오송읍</t>
        </is>
      </c>
    </row>
    <row r="8941">
      <c r="A8941" s="3" t="n">
        <v>2023</v>
      </c>
      <c r="B8941" s="4" t="n">
        <v>52</v>
      </c>
      <c r="C8941" s="4" t="n">
        <v>1</v>
      </c>
      <c r="D8941" s="4" t="n">
        <v>0.3025</v>
      </c>
      <c r="E8941" s="5" t="n">
        <v>171.9</v>
      </c>
      <c r="F8941" s="3" t="inlineStr">
        <is>
          <t>오송읍</t>
        </is>
      </c>
      <c r="G8941" s="3" t="inlineStr">
        <is>
          <t>정중리</t>
        </is>
      </c>
      <c r="H8941" s="3" t="inlineStr">
        <is>
          <t>생산관리지역</t>
        </is>
      </c>
      <c r="I8941" s="3" t="inlineStr">
        <is>
          <t>대</t>
        </is>
      </c>
      <c r="J8941" s="3" t="inlineStr">
        <is>
          <t>오송읍</t>
        </is>
      </c>
    </row>
    <row r="8942">
      <c r="A8942" s="3" t="n">
        <v>2023</v>
      </c>
      <c r="B8942" s="4" t="n">
        <v>20031</v>
      </c>
      <c r="C8942" s="4" t="n">
        <v>224</v>
      </c>
      <c r="D8942" s="4" t="n">
        <v>67.75999999999999</v>
      </c>
      <c r="E8942" s="5" t="n">
        <v>295.6</v>
      </c>
      <c r="F8942" s="3" t="inlineStr">
        <is>
          <t>오송읍</t>
        </is>
      </c>
      <c r="G8942" s="3" t="inlineStr">
        <is>
          <t>정중리</t>
        </is>
      </c>
      <c r="H8942" s="3" t="inlineStr">
        <is>
          <t>계획관리지역</t>
        </is>
      </c>
      <c r="I8942" s="3" t="inlineStr">
        <is>
          <t>전</t>
        </is>
      </c>
      <c r="J8942" s="3" t="inlineStr">
        <is>
          <t>오송읍</t>
        </is>
      </c>
    </row>
    <row r="8943">
      <c r="A8943" s="3" t="n">
        <v>2023</v>
      </c>
      <c r="B8943" s="4" t="n">
        <v>12410</v>
      </c>
      <c r="C8943" s="4" t="n">
        <v>136</v>
      </c>
      <c r="D8943" s="4" t="n">
        <v>41.14</v>
      </c>
      <c r="E8943" s="5" t="n">
        <v>301.7</v>
      </c>
      <c r="F8943" s="3" t="inlineStr">
        <is>
          <t>오송읍</t>
        </is>
      </c>
      <c r="G8943" s="3" t="inlineStr">
        <is>
          <t>정중리</t>
        </is>
      </c>
      <c r="H8943" s="3" t="inlineStr">
        <is>
          <t>생산관리지역</t>
        </is>
      </c>
      <c r="I8943" s="3" t="inlineStr">
        <is>
          <t>대</t>
        </is>
      </c>
      <c r="J8943" s="3" t="inlineStr">
        <is>
          <t>오송읍</t>
        </is>
      </c>
    </row>
    <row r="8944">
      <c r="A8944" s="3" t="n">
        <v>2023</v>
      </c>
      <c r="B8944" s="4" t="n">
        <v>32500</v>
      </c>
      <c r="C8944" s="4" t="n">
        <v>351</v>
      </c>
      <c r="D8944" s="4" t="n">
        <v>106.1775</v>
      </c>
      <c r="E8944" s="5" t="n">
        <v>306.1</v>
      </c>
      <c r="F8944" s="3" t="inlineStr">
        <is>
          <t>오송읍</t>
        </is>
      </c>
      <c r="G8944" s="3" t="inlineStr">
        <is>
          <t>정중리</t>
        </is>
      </c>
      <c r="H8944" s="3" t="inlineStr">
        <is>
          <t>계획관리지역</t>
        </is>
      </c>
      <c r="I8944" s="3" t="inlineStr">
        <is>
          <t>대</t>
        </is>
      </c>
      <c r="J8944" s="3" t="inlineStr">
        <is>
          <t>오송읍</t>
        </is>
      </c>
    </row>
    <row r="8945">
      <c r="A8945" s="3" t="n">
        <v>2023</v>
      </c>
      <c r="B8945" s="4" t="n">
        <v>2400</v>
      </c>
      <c r="C8945" s="4" t="n">
        <v>53</v>
      </c>
      <c r="D8945" s="4" t="n">
        <v>16.0325</v>
      </c>
      <c r="E8945" s="5" t="n">
        <v>149.7</v>
      </c>
      <c r="F8945" s="3" t="inlineStr">
        <is>
          <t>오송읍</t>
        </is>
      </c>
      <c r="G8945" s="3" t="inlineStr">
        <is>
          <t>정중리</t>
        </is>
      </c>
      <c r="H8945" s="3" t="inlineStr">
        <is>
          <t>생산관리지역</t>
        </is>
      </c>
      <c r="I8945" s="3" t="inlineStr">
        <is>
          <t>임야</t>
        </is>
      </c>
      <c r="J8945" s="3" t="inlineStr">
        <is>
          <t>오송읍</t>
        </is>
      </c>
    </row>
    <row r="8946">
      <c r="A8946" s="3" t="n">
        <v>2023</v>
      </c>
      <c r="B8946" s="4" t="n">
        <v>30420</v>
      </c>
      <c r="C8946" s="4" t="n">
        <v>324</v>
      </c>
      <c r="D8946" s="4" t="n">
        <v>98.00999999999999</v>
      </c>
      <c r="E8946" s="5" t="n">
        <v>310.4</v>
      </c>
      <c r="F8946" s="3" t="inlineStr">
        <is>
          <t>오송읍</t>
        </is>
      </c>
      <c r="G8946" s="3" t="inlineStr">
        <is>
          <t>정중리</t>
        </is>
      </c>
      <c r="H8946" s="3" t="inlineStr">
        <is>
          <t>계획관리지역</t>
        </is>
      </c>
      <c r="I8946" s="3" t="inlineStr">
        <is>
          <t>대</t>
        </is>
      </c>
      <c r="J8946" s="3" t="inlineStr">
        <is>
          <t>오송읍</t>
        </is>
      </c>
    </row>
    <row r="8947">
      <c r="A8947" s="3" t="n">
        <v>2022</v>
      </c>
      <c r="B8947" s="4" t="n">
        <v>11370</v>
      </c>
      <c r="C8947" s="4" t="n">
        <v>1253</v>
      </c>
      <c r="D8947" s="4" t="n">
        <v>379.0325</v>
      </c>
      <c r="E8947" s="5" t="n">
        <v>30</v>
      </c>
      <c r="F8947" s="3" t="inlineStr">
        <is>
          <t>유구읍</t>
        </is>
      </c>
      <c r="G8947" s="3" t="inlineStr">
        <is>
          <t>문금리</t>
        </is>
      </c>
      <c r="H8947" s="3" t="inlineStr">
        <is>
          <t>계획관리지역</t>
        </is>
      </c>
      <c r="I8947" s="3" t="inlineStr">
        <is>
          <t>전</t>
        </is>
      </c>
      <c r="J8947" s="3" t="inlineStr">
        <is>
          <t>유구읍</t>
        </is>
      </c>
    </row>
    <row r="8948">
      <c r="A8948" s="3" t="n">
        <v>2022</v>
      </c>
      <c r="B8948" s="4" t="n">
        <v>1000</v>
      </c>
      <c r="C8948" s="4" t="n">
        <v>237</v>
      </c>
      <c r="D8948" s="4" t="n">
        <v>71.6925</v>
      </c>
      <c r="E8948" s="5" t="n">
        <v>13.9</v>
      </c>
      <c r="F8948" s="3" t="inlineStr">
        <is>
          <t>유구읍</t>
        </is>
      </c>
      <c r="G8948" s="3" t="inlineStr">
        <is>
          <t>노동리</t>
        </is>
      </c>
      <c r="H8948" s="3" t="inlineStr">
        <is>
          <t>계획관리지역</t>
        </is>
      </c>
      <c r="I8948" s="3" t="inlineStr">
        <is>
          <t>답</t>
        </is>
      </c>
      <c r="J8948" s="3" t="inlineStr">
        <is>
          <t>유구읍</t>
        </is>
      </c>
    </row>
    <row r="8949">
      <c r="A8949" s="3" t="n">
        <v>2022</v>
      </c>
      <c r="B8949" s="4" t="n">
        <v>700</v>
      </c>
      <c r="C8949" s="4" t="n">
        <v>163</v>
      </c>
      <c r="D8949" s="4" t="n">
        <v>49.3075</v>
      </c>
      <c r="E8949" s="5" t="n">
        <v>14.2</v>
      </c>
      <c r="F8949" s="3" t="inlineStr">
        <is>
          <t>유구읍</t>
        </is>
      </c>
      <c r="G8949" s="3" t="inlineStr">
        <is>
          <t>노동리</t>
        </is>
      </c>
      <c r="H8949" s="3" t="inlineStr">
        <is>
          <t>계획관리지역</t>
        </is>
      </c>
      <c r="I8949" s="3" t="inlineStr">
        <is>
          <t>답</t>
        </is>
      </c>
      <c r="J8949" s="3" t="inlineStr">
        <is>
          <t>유구읍</t>
        </is>
      </c>
    </row>
    <row r="8950">
      <c r="A8950" s="3" t="n">
        <v>2022</v>
      </c>
      <c r="B8950" s="4" t="n">
        <v>14385</v>
      </c>
      <c r="C8950" s="4" t="n">
        <v>2264</v>
      </c>
      <c r="D8950" s="4" t="n">
        <v>684.86</v>
      </c>
      <c r="E8950" s="5" t="n">
        <v>21</v>
      </c>
      <c r="F8950" s="3" t="inlineStr">
        <is>
          <t>유구읍</t>
        </is>
      </c>
      <c r="G8950" s="3" t="inlineStr">
        <is>
          <t>석남리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유구읍</t>
        </is>
      </c>
    </row>
    <row r="8951">
      <c r="A8951" s="3" t="n">
        <v>2022</v>
      </c>
      <c r="B8951" s="4" t="n">
        <v>4000</v>
      </c>
      <c r="C8951" s="4" t="n">
        <v>13223</v>
      </c>
      <c r="D8951" s="4" t="n">
        <v>3999.9575</v>
      </c>
      <c r="E8951" s="5" t="n">
        <v>1</v>
      </c>
      <c r="F8951" s="3" t="inlineStr">
        <is>
          <t>유구읍</t>
        </is>
      </c>
      <c r="G8951" s="3" t="inlineStr">
        <is>
          <t>입석리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유구읍</t>
        </is>
      </c>
    </row>
    <row r="8952">
      <c r="A8952" s="3" t="n">
        <v>2022</v>
      </c>
      <c r="B8952" s="4" t="n">
        <v>8600</v>
      </c>
      <c r="C8952" s="4" t="n">
        <v>688</v>
      </c>
      <c r="D8952" s="4" t="n">
        <v>208.12</v>
      </c>
      <c r="E8952" s="5" t="n">
        <v>41.3</v>
      </c>
      <c r="F8952" s="3" t="inlineStr">
        <is>
          <t>유구읍</t>
        </is>
      </c>
      <c r="G8952" s="3" t="inlineStr">
        <is>
          <t>만천리</t>
        </is>
      </c>
      <c r="H8952" s="3" t="inlineStr">
        <is>
          <t>계획관리지역</t>
        </is>
      </c>
      <c r="I8952" s="3" t="inlineStr">
        <is>
          <t>답</t>
        </is>
      </c>
      <c r="J8952" s="3" t="inlineStr">
        <is>
          <t>유구읍</t>
        </is>
      </c>
    </row>
    <row r="8953">
      <c r="A8953" s="3" t="n">
        <v>2022</v>
      </c>
      <c r="B8953" s="4" t="n">
        <v>600</v>
      </c>
      <c r="C8953" s="4" t="n">
        <v>74</v>
      </c>
      <c r="D8953" s="4" t="n">
        <v>22.385</v>
      </c>
      <c r="E8953" s="5" t="n">
        <v>26.8</v>
      </c>
      <c r="F8953" s="3" t="inlineStr">
        <is>
          <t>유구읍</t>
        </is>
      </c>
      <c r="G8953" s="3" t="inlineStr">
        <is>
          <t>만천리</t>
        </is>
      </c>
      <c r="H8953" s="3" t="inlineStr">
        <is>
          <t>계획관리지역</t>
        </is>
      </c>
      <c r="I8953" s="3" t="inlineStr">
        <is>
          <t>하천</t>
        </is>
      </c>
      <c r="J8953" s="3" t="inlineStr">
        <is>
          <t>유구읍</t>
        </is>
      </c>
    </row>
    <row r="8954">
      <c r="A8954" s="3" t="n">
        <v>2022</v>
      </c>
      <c r="B8954" s="4" t="n">
        <v>2747</v>
      </c>
      <c r="C8954" s="4" t="n">
        <v>260</v>
      </c>
      <c r="D8954" s="4" t="n">
        <v>78.64999999999999</v>
      </c>
      <c r="E8954" s="5" t="n">
        <v>34.9</v>
      </c>
      <c r="F8954" s="3" t="inlineStr">
        <is>
          <t>유구읍</t>
        </is>
      </c>
      <c r="G8954" s="3" t="inlineStr">
        <is>
          <t>유구리</t>
        </is>
      </c>
      <c r="H8954" s="3" t="inlineStr">
        <is>
          <t>계획관리지역</t>
        </is>
      </c>
      <c r="I8954" s="3" t="inlineStr">
        <is>
          <t>답</t>
        </is>
      </c>
      <c r="J8954" s="3" t="inlineStr">
        <is>
          <t>유구읍</t>
        </is>
      </c>
    </row>
    <row r="8955">
      <c r="A8955" s="3" t="n">
        <v>2022</v>
      </c>
      <c r="B8955" s="4" t="n">
        <v>4332</v>
      </c>
      <c r="C8955" s="4" t="n">
        <v>410</v>
      </c>
      <c r="D8955" s="4" t="n">
        <v>124.025</v>
      </c>
      <c r="E8955" s="5" t="n">
        <v>34.9</v>
      </c>
      <c r="F8955" s="3" t="inlineStr">
        <is>
          <t>유구읍</t>
        </is>
      </c>
      <c r="G8955" s="3" t="inlineStr">
        <is>
          <t>유구리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유구읍</t>
        </is>
      </c>
    </row>
    <row r="8956">
      <c r="A8956" s="3" t="n">
        <v>2022</v>
      </c>
      <c r="B8956" s="4" t="n">
        <v>5178</v>
      </c>
      <c r="C8956" s="4" t="n">
        <v>490</v>
      </c>
      <c r="D8956" s="4" t="n">
        <v>148.225</v>
      </c>
      <c r="E8956" s="5" t="n">
        <v>34.9</v>
      </c>
      <c r="F8956" s="3" t="inlineStr">
        <is>
          <t>유구읍</t>
        </is>
      </c>
      <c r="G8956" s="3" t="inlineStr">
        <is>
          <t>유구리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유구읍</t>
        </is>
      </c>
    </row>
    <row r="8957">
      <c r="A8957" s="3" t="n">
        <v>2022</v>
      </c>
      <c r="B8957" s="4" t="n">
        <v>6743</v>
      </c>
      <c r="C8957" s="4" t="n">
        <v>638</v>
      </c>
      <c r="D8957" s="4" t="n">
        <v>192.995</v>
      </c>
      <c r="E8957" s="5" t="n">
        <v>34.9</v>
      </c>
      <c r="F8957" s="3" t="inlineStr">
        <is>
          <t>유구읍</t>
        </is>
      </c>
      <c r="G8957" s="3" t="inlineStr">
        <is>
          <t>유구리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유구읍</t>
        </is>
      </c>
    </row>
    <row r="8958">
      <c r="A8958" s="3" t="n">
        <v>2022</v>
      </c>
      <c r="B8958" s="4" t="n">
        <v>5600</v>
      </c>
      <c r="C8958" s="4" t="n">
        <v>1722</v>
      </c>
      <c r="D8958" s="4" t="n">
        <v>520.905</v>
      </c>
      <c r="E8958" s="5" t="n">
        <v>10.8</v>
      </c>
      <c r="F8958" s="3" t="inlineStr">
        <is>
          <t>유구읍</t>
        </is>
      </c>
      <c r="G8958" s="3" t="inlineStr">
        <is>
          <t>녹천리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유구읍</t>
        </is>
      </c>
    </row>
    <row r="8959">
      <c r="A8959" s="3" t="n">
        <v>2022</v>
      </c>
      <c r="B8959" s="4" t="n">
        <v>12700</v>
      </c>
      <c r="C8959" s="4" t="n">
        <v>23140</v>
      </c>
      <c r="D8959" s="4" t="n">
        <v>6999.849999999999</v>
      </c>
      <c r="E8959" s="5" t="n">
        <v>1.8</v>
      </c>
      <c r="F8959" s="3" t="inlineStr">
        <is>
          <t>유구읍</t>
        </is>
      </c>
      <c r="G8959" s="3" t="inlineStr">
        <is>
          <t>신달리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유구읍</t>
        </is>
      </c>
    </row>
    <row r="8960">
      <c r="A8960" s="3" t="n">
        <v>2022</v>
      </c>
      <c r="B8960" s="4" t="n">
        <v>1575</v>
      </c>
      <c r="C8960" s="4" t="n">
        <v>350</v>
      </c>
      <c r="D8960" s="4" t="n">
        <v>105.875</v>
      </c>
      <c r="E8960" s="5" t="n">
        <v>14.9</v>
      </c>
      <c r="F8960" s="3" t="inlineStr">
        <is>
          <t>유구읍</t>
        </is>
      </c>
      <c r="G8960" s="3" t="inlineStr">
        <is>
          <t>만천리</t>
        </is>
      </c>
      <c r="H8960" s="3" t="inlineStr">
        <is>
          <t>농림지역</t>
        </is>
      </c>
      <c r="I8960" s="3" t="inlineStr">
        <is>
          <t>답</t>
        </is>
      </c>
      <c r="J8960" s="3" t="inlineStr">
        <is>
          <t>유구읍</t>
        </is>
      </c>
    </row>
    <row r="8961">
      <c r="A8961" s="3" t="n">
        <v>2024</v>
      </c>
      <c r="B8961" s="4" t="n">
        <v>3125</v>
      </c>
      <c r="C8961" s="4" t="n">
        <v>174</v>
      </c>
      <c r="D8961" s="4" t="n">
        <v>52.635</v>
      </c>
      <c r="E8961" s="5" t="n">
        <v>59.4</v>
      </c>
      <c r="F8961" s="3" t="inlineStr">
        <is>
          <t>유구읍</t>
        </is>
      </c>
      <c r="G8961" s="3" t="inlineStr">
        <is>
          <t>연종리</t>
        </is>
      </c>
      <c r="H8961" s="3" t="inlineStr">
        <is>
          <t>생산관리지역</t>
        </is>
      </c>
      <c r="I8961" s="3" t="inlineStr">
        <is>
          <t>대</t>
        </is>
      </c>
      <c r="J8961" s="3" t="inlineStr">
        <is>
          <t>유구읍</t>
        </is>
      </c>
    </row>
    <row r="8962">
      <c r="A8962" s="3" t="n">
        <v>2024</v>
      </c>
      <c r="B8962" s="4" t="n">
        <v>1105</v>
      </c>
      <c r="C8962" s="4" t="n">
        <v>61</v>
      </c>
      <c r="D8962" s="4" t="n">
        <v>18.4525</v>
      </c>
      <c r="E8962" s="5" t="n">
        <v>59.9</v>
      </c>
      <c r="F8962" s="3" t="inlineStr">
        <is>
          <t>유구읍</t>
        </is>
      </c>
      <c r="G8962" s="3" t="inlineStr">
        <is>
          <t>연종리</t>
        </is>
      </c>
      <c r="H8962" s="3" t="inlineStr">
        <is>
          <t>생산관리지역</t>
        </is>
      </c>
      <c r="I8962" s="3" t="inlineStr">
        <is>
          <t>대</t>
        </is>
      </c>
      <c r="J8962" s="3" t="inlineStr">
        <is>
          <t>유구읍</t>
        </is>
      </c>
    </row>
    <row r="8963">
      <c r="A8963" s="3" t="n">
        <v>2024</v>
      </c>
      <c r="B8963" s="4" t="n">
        <v>1846</v>
      </c>
      <c r="C8963" s="4" t="n">
        <v>206</v>
      </c>
      <c r="D8963" s="4" t="n">
        <v>62.315</v>
      </c>
      <c r="E8963" s="5" t="n">
        <v>29.6</v>
      </c>
      <c r="F8963" s="3" t="inlineStr">
        <is>
          <t>유구읍</t>
        </is>
      </c>
      <c r="G8963" s="3" t="inlineStr">
        <is>
          <t>연종리</t>
        </is>
      </c>
      <c r="H8963" s="3" t="inlineStr">
        <is>
          <t>생산관리지역</t>
        </is>
      </c>
      <c r="I8963" s="3" t="inlineStr">
        <is>
          <t>전</t>
        </is>
      </c>
      <c r="J8963" s="3" t="inlineStr">
        <is>
          <t>유구읍</t>
        </is>
      </c>
    </row>
    <row r="8964">
      <c r="A8964" s="3" t="n">
        <v>2024</v>
      </c>
      <c r="B8964" s="4" t="n">
        <v>6907</v>
      </c>
      <c r="C8964" s="4" t="n">
        <v>608</v>
      </c>
      <c r="D8964" s="4" t="n">
        <v>183.92</v>
      </c>
      <c r="E8964" s="5" t="n">
        <v>37.6</v>
      </c>
      <c r="F8964" s="3" t="inlineStr">
        <is>
          <t>유구읍</t>
        </is>
      </c>
      <c r="G8964" s="3" t="inlineStr">
        <is>
          <t>연종리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유구읍</t>
        </is>
      </c>
    </row>
    <row r="8965">
      <c r="A8965" s="3" t="n">
        <v>2024</v>
      </c>
      <c r="B8965" s="4" t="n">
        <v>11000</v>
      </c>
      <c r="C8965" s="4" t="n">
        <v>407</v>
      </c>
      <c r="D8965" s="4" t="n">
        <v>123.1175</v>
      </c>
      <c r="E8965" s="5" t="n">
        <v>89.3</v>
      </c>
      <c r="F8965" s="3" t="inlineStr">
        <is>
          <t>유구읍</t>
        </is>
      </c>
      <c r="G8965" s="3" t="inlineStr">
        <is>
          <t>백교리</t>
        </is>
      </c>
      <c r="H8965" s="3" t="inlineStr">
        <is>
          <t>일반상업지역</t>
        </is>
      </c>
      <c r="I8965" s="3" t="inlineStr">
        <is>
          <t>답</t>
        </is>
      </c>
      <c r="J8965" s="3" t="inlineStr">
        <is>
          <t>유구읍</t>
        </is>
      </c>
    </row>
    <row r="8966">
      <c r="A8966" s="3" t="n">
        <v>2024</v>
      </c>
      <c r="B8966" s="4" t="n">
        <v>3850</v>
      </c>
      <c r="C8966" s="4" t="n">
        <v>288</v>
      </c>
      <c r="D8966" s="4" t="n">
        <v>87.12</v>
      </c>
      <c r="E8966" s="5" t="n">
        <v>44.2</v>
      </c>
      <c r="F8966" s="3" t="inlineStr">
        <is>
          <t>유구읍</t>
        </is>
      </c>
      <c r="G8966" s="3" t="inlineStr">
        <is>
          <t>추계리</t>
        </is>
      </c>
      <c r="H8966" s="3" t="inlineStr">
        <is>
          <t>계획관리지역</t>
        </is>
      </c>
      <c r="I8966" s="3" t="inlineStr">
        <is>
          <t>대</t>
        </is>
      </c>
      <c r="J8966" s="3" t="inlineStr">
        <is>
          <t>유구읍</t>
        </is>
      </c>
    </row>
    <row r="8967">
      <c r="A8967" s="3" t="n">
        <v>2024</v>
      </c>
      <c r="B8967" s="4" t="n">
        <v>150</v>
      </c>
      <c r="C8967" s="4" t="n">
        <v>69</v>
      </c>
      <c r="D8967" s="4" t="n">
        <v>20.8725</v>
      </c>
      <c r="E8967" s="5" t="n">
        <v>7.2</v>
      </c>
      <c r="F8967" s="3" t="inlineStr">
        <is>
          <t>유구읍</t>
        </is>
      </c>
      <c r="G8967" s="3" t="inlineStr">
        <is>
          <t>신달리</t>
        </is>
      </c>
      <c r="H8967" s="3" t="inlineStr">
        <is>
          <t>보전관리지역</t>
        </is>
      </c>
      <c r="I8967" s="3" t="inlineStr">
        <is>
          <t>답</t>
        </is>
      </c>
      <c r="J8967" s="3" t="inlineStr">
        <is>
          <t>유구읍</t>
        </is>
      </c>
    </row>
    <row r="8968">
      <c r="A8968" s="3" t="n">
        <v>2025</v>
      </c>
      <c r="B8968" s="4" t="n">
        <v>51100</v>
      </c>
      <c r="C8968" s="4" t="n">
        <v>849</v>
      </c>
      <c r="D8968" s="4" t="n">
        <v>256.8225</v>
      </c>
      <c r="E8968" s="5" t="n">
        <v>199</v>
      </c>
      <c r="F8968" s="3" t="inlineStr">
        <is>
          <t>강내면</t>
        </is>
      </c>
      <c r="G8968" s="3" t="inlineStr">
        <is>
          <t>태성리</t>
        </is>
      </c>
      <c r="H8968" s="3" t="inlineStr">
        <is>
          <t>계획관리지역</t>
        </is>
      </c>
      <c r="I8968" s="3" t="inlineStr">
        <is>
          <t>대</t>
        </is>
      </c>
      <c r="J8968" s="3" t="inlineStr">
        <is>
          <t>강내면</t>
        </is>
      </c>
    </row>
    <row r="8969">
      <c r="A8969" s="3" t="n">
        <v>2023</v>
      </c>
      <c r="B8969" s="4" t="n">
        <v>2100</v>
      </c>
      <c r="C8969" s="4" t="n">
        <v>24</v>
      </c>
      <c r="D8969" s="4" t="n">
        <v>7.26</v>
      </c>
      <c r="E8969" s="5" t="n">
        <v>289.3</v>
      </c>
      <c r="F8969" s="3" t="inlineStr">
        <is>
          <t>오송읍</t>
        </is>
      </c>
      <c r="G8969" s="3" t="inlineStr">
        <is>
          <t>오송리</t>
        </is>
      </c>
      <c r="H8969" s="3" t="inlineStr">
        <is>
          <t>농림지역</t>
        </is>
      </c>
      <c r="I8969" s="3" t="inlineStr">
        <is>
          <t>도로</t>
        </is>
      </c>
      <c r="J8969" s="3" t="inlineStr">
        <is>
          <t>오송읍</t>
        </is>
      </c>
    </row>
    <row r="8970">
      <c r="A8970" s="3" t="n">
        <v>2023</v>
      </c>
      <c r="B8970" s="4" t="n">
        <v>7100</v>
      </c>
      <c r="C8970" s="4" t="n">
        <v>143</v>
      </c>
      <c r="D8970" s="4" t="n">
        <v>43.2575</v>
      </c>
      <c r="E8970" s="5" t="n">
        <v>164.1</v>
      </c>
      <c r="F8970" s="3" t="inlineStr">
        <is>
          <t>강내면</t>
        </is>
      </c>
      <c r="G8970" s="3" t="inlineStr">
        <is>
          <t>석화리</t>
        </is>
      </c>
      <c r="H8970" s="3" t="inlineStr">
        <is>
          <t>자연녹지지역</t>
        </is>
      </c>
      <c r="I8970" s="3" t="inlineStr">
        <is>
          <t>대</t>
        </is>
      </c>
      <c r="J8970" s="3" t="inlineStr">
        <is>
          <t>강내면</t>
        </is>
      </c>
    </row>
    <row r="8971">
      <c r="A8971" s="3" t="n">
        <v>2023</v>
      </c>
      <c r="B8971" s="4" t="n">
        <v>1075</v>
      </c>
      <c r="C8971" s="4" t="n">
        <v>15</v>
      </c>
      <c r="D8971" s="4" t="n">
        <v>4.5375</v>
      </c>
      <c r="E8971" s="5" t="n">
        <v>236.9</v>
      </c>
      <c r="F8971" s="3" t="inlineStr">
        <is>
          <t>오송읍</t>
        </is>
      </c>
      <c r="G8971" s="3" t="inlineStr">
        <is>
          <t>오송리</t>
        </is>
      </c>
      <c r="H8971" s="3" t="inlineStr">
        <is>
          <t>계획관리지역</t>
        </is>
      </c>
      <c r="I8971" s="3" t="inlineStr">
        <is>
          <t>대</t>
        </is>
      </c>
      <c r="J8971" s="3" t="inlineStr">
        <is>
          <t>오송읍</t>
        </is>
      </c>
    </row>
    <row r="8972">
      <c r="A8972" s="3" t="n">
        <v>2023</v>
      </c>
      <c r="B8972" s="4" t="n">
        <v>5394</v>
      </c>
      <c r="C8972" s="4" t="n">
        <v>79</v>
      </c>
      <c r="D8972" s="4" t="n">
        <v>23.8975</v>
      </c>
      <c r="E8972" s="5" t="n">
        <v>225.7</v>
      </c>
      <c r="F8972" s="3" t="inlineStr">
        <is>
          <t>오송읍</t>
        </is>
      </c>
      <c r="G8972" s="3" t="inlineStr">
        <is>
          <t>오송리</t>
        </is>
      </c>
      <c r="H8972" s="3" t="inlineStr">
        <is>
          <t>계획관리지역</t>
        </is>
      </c>
      <c r="I8972" s="3" t="inlineStr">
        <is>
          <t>대</t>
        </is>
      </c>
      <c r="J8972" s="3" t="inlineStr">
        <is>
          <t>오송읍</t>
        </is>
      </c>
    </row>
    <row r="8973">
      <c r="A8973" s="3" t="n">
        <v>2023</v>
      </c>
      <c r="B8973" s="4" t="n">
        <v>51400</v>
      </c>
      <c r="C8973" s="4" t="n">
        <v>2178</v>
      </c>
      <c r="D8973" s="4" t="n">
        <v>658.845</v>
      </c>
      <c r="E8973" s="5" t="n">
        <v>78</v>
      </c>
      <c r="F8973" s="3" t="inlineStr">
        <is>
          <t>강내면</t>
        </is>
      </c>
      <c r="G8973" s="3" t="inlineStr">
        <is>
          <t>저산리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강내면</t>
        </is>
      </c>
    </row>
    <row r="8974">
      <c r="A8974" s="3" t="n">
        <v>2023</v>
      </c>
      <c r="B8974" s="4" t="n">
        <v>30000</v>
      </c>
      <c r="C8974" s="4" t="n">
        <v>271.1</v>
      </c>
      <c r="D8974" s="4" t="n">
        <v>82.00775</v>
      </c>
      <c r="E8974" s="5" t="n">
        <v>365.8</v>
      </c>
      <c r="F8974" s="3" t="inlineStr">
        <is>
          <t>오송읍</t>
        </is>
      </c>
      <c r="G8974" s="3" t="inlineStr">
        <is>
          <t>봉산리</t>
        </is>
      </c>
      <c r="H8974" s="3" t="inlineStr">
        <is>
          <t>제1종일반주거지역</t>
        </is>
      </c>
      <c r="I8974" s="3" t="inlineStr">
        <is>
          <t>대</t>
        </is>
      </c>
      <c r="J8974" s="3" t="inlineStr">
        <is>
          <t>오송읍</t>
        </is>
      </c>
    </row>
    <row r="8975">
      <c r="A8975" s="3" t="n">
        <v>2022</v>
      </c>
      <c r="B8975" s="4" t="n">
        <v>7500</v>
      </c>
      <c r="C8975" s="4" t="n">
        <v>2258</v>
      </c>
      <c r="D8975" s="4" t="n">
        <v>683.045</v>
      </c>
      <c r="E8975" s="5" t="n">
        <v>11</v>
      </c>
      <c r="F8975" s="3" t="inlineStr">
        <is>
          <t>유구읍</t>
        </is>
      </c>
      <c r="G8975" s="3" t="inlineStr">
        <is>
          <t>신영리</t>
        </is>
      </c>
      <c r="H8975" s="3" t="inlineStr">
        <is>
          <t>보전관리지역</t>
        </is>
      </c>
      <c r="I8975" s="3" t="inlineStr">
        <is>
          <t>전</t>
        </is>
      </c>
      <c r="J8975" s="3" t="inlineStr">
        <is>
          <t>유구읍</t>
        </is>
      </c>
    </row>
    <row r="8976">
      <c r="A8976" s="3" t="n">
        <v>2022</v>
      </c>
      <c r="B8976" s="4" t="n">
        <v>4200</v>
      </c>
      <c r="C8976" s="4" t="n">
        <v>374</v>
      </c>
      <c r="D8976" s="4" t="n">
        <v>113.135</v>
      </c>
      <c r="E8976" s="5" t="n">
        <v>37.1</v>
      </c>
      <c r="F8976" s="3" t="inlineStr">
        <is>
          <t>유구읍</t>
        </is>
      </c>
      <c r="G8976" s="3" t="inlineStr">
        <is>
          <t>녹천리</t>
        </is>
      </c>
      <c r="H8976" s="3" t="inlineStr">
        <is>
          <t>자연녹지지역</t>
        </is>
      </c>
      <c r="I8976" s="3" t="inlineStr">
        <is>
          <t>답</t>
        </is>
      </c>
      <c r="J8976" s="3" t="inlineStr">
        <is>
          <t>유구읍</t>
        </is>
      </c>
    </row>
    <row r="8977">
      <c r="A8977" s="3" t="n">
        <v>2022</v>
      </c>
      <c r="B8977" s="4" t="n">
        <v>4200</v>
      </c>
      <c r="C8977" s="4" t="n">
        <v>430</v>
      </c>
      <c r="D8977" s="4" t="n">
        <v>130.075</v>
      </c>
      <c r="E8977" s="5" t="n">
        <v>32.3</v>
      </c>
      <c r="F8977" s="3" t="inlineStr">
        <is>
          <t>유구읍</t>
        </is>
      </c>
      <c r="G8977" s="3" t="inlineStr">
        <is>
          <t>녹천리</t>
        </is>
      </c>
      <c r="H8977" s="3" t="inlineStr">
        <is>
          <t>자연녹지지역</t>
        </is>
      </c>
      <c r="I8977" s="3" t="inlineStr">
        <is>
          <t>답</t>
        </is>
      </c>
      <c r="J8977" s="3" t="inlineStr">
        <is>
          <t>유구읍</t>
        </is>
      </c>
    </row>
    <row r="8978">
      <c r="A8978" s="3" t="n">
        <v>2022</v>
      </c>
      <c r="B8978" s="4" t="n">
        <v>5000</v>
      </c>
      <c r="C8978" s="4" t="n">
        <v>448</v>
      </c>
      <c r="D8978" s="4" t="n">
        <v>135.52</v>
      </c>
      <c r="E8978" s="5" t="n">
        <v>36.9</v>
      </c>
      <c r="F8978" s="3" t="inlineStr">
        <is>
          <t>유구읍</t>
        </is>
      </c>
      <c r="G8978" s="3" t="inlineStr">
        <is>
          <t>녹천리</t>
        </is>
      </c>
      <c r="H8978" s="3" t="inlineStr">
        <is>
          <t>자연녹지지역</t>
        </is>
      </c>
      <c r="I8978" s="3" t="inlineStr">
        <is>
          <t>답</t>
        </is>
      </c>
      <c r="J8978" s="3" t="inlineStr">
        <is>
          <t>유구읍</t>
        </is>
      </c>
    </row>
    <row r="8979">
      <c r="A8979" s="3" t="n">
        <v>2022</v>
      </c>
      <c r="B8979" s="4" t="n">
        <v>11900</v>
      </c>
      <c r="C8979" s="4" t="n">
        <v>2958</v>
      </c>
      <c r="D8979" s="4" t="n">
        <v>894.795</v>
      </c>
      <c r="E8979" s="5" t="n">
        <v>13.3</v>
      </c>
      <c r="F8979" s="3" t="inlineStr">
        <is>
          <t>유구읍</t>
        </is>
      </c>
      <c r="G8979" s="3" t="inlineStr">
        <is>
          <t>신영리</t>
        </is>
      </c>
      <c r="H8979" s="3" t="inlineStr">
        <is>
          <t>보전관리지역</t>
        </is>
      </c>
      <c r="I8979" s="3" t="inlineStr">
        <is>
          <t>답</t>
        </is>
      </c>
      <c r="J8979" s="3" t="inlineStr">
        <is>
          <t>유구읍</t>
        </is>
      </c>
    </row>
    <row r="8980">
      <c r="A8980" s="3" t="n">
        <v>2022</v>
      </c>
      <c r="B8980" s="4" t="n">
        <v>1000</v>
      </c>
      <c r="C8980" s="4" t="n">
        <v>6050</v>
      </c>
      <c r="D8980" s="4" t="n">
        <v>1830.125</v>
      </c>
      <c r="E8980" s="5" t="n">
        <v>0.5</v>
      </c>
      <c r="F8980" s="3" t="inlineStr">
        <is>
          <t>유구읍</t>
        </is>
      </c>
      <c r="G8980" s="3" t="inlineStr">
        <is>
          <t>문금리</t>
        </is>
      </c>
      <c r="H8980" s="3" t="inlineStr">
        <is>
          <t>농림지역</t>
        </is>
      </c>
      <c r="I8980" s="3" t="inlineStr">
        <is>
          <t>임야</t>
        </is>
      </c>
      <c r="J8980" s="3" t="inlineStr">
        <is>
          <t>유구읍</t>
        </is>
      </c>
    </row>
    <row r="8981">
      <c r="A8981" s="3" t="n">
        <v>2022</v>
      </c>
      <c r="B8981" s="4" t="n">
        <v>8300</v>
      </c>
      <c r="C8981" s="4" t="n">
        <v>902</v>
      </c>
      <c r="D8981" s="4" t="n">
        <v>272.855</v>
      </c>
      <c r="E8981" s="5" t="n">
        <v>30.4</v>
      </c>
      <c r="F8981" s="3" t="inlineStr">
        <is>
          <t>유구읍</t>
        </is>
      </c>
      <c r="G8981" s="3" t="inlineStr">
        <is>
          <t>추계리</t>
        </is>
      </c>
      <c r="H8981" s="3" t="inlineStr">
        <is>
          <t>보전관리지역</t>
        </is>
      </c>
      <c r="I8981" s="3" t="inlineStr">
        <is>
          <t>대</t>
        </is>
      </c>
      <c r="J8981" s="3" t="inlineStr">
        <is>
          <t>유구읍</t>
        </is>
      </c>
    </row>
    <row r="8982">
      <c r="A8982" s="3" t="n">
        <v>2022</v>
      </c>
      <c r="B8982" s="4" t="n">
        <v>14640</v>
      </c>
      <c r="C8982" s="4" t="n">
        <v>2421</v>
      </c>
      <c r="D8982" s="4" t="n">
        <v>732.3525</v>
      </c>
      <c r="E8982" s="5" t="n">
        <v>20</v>
      </c>
      <c r="F8982" s="3" t="inlineStr">
        <is>
          <t>유구읍</t>
        </is>
      </c>
      <c r="G8982" s="3" t="inlineStr">
        <is>
          <t>유구리</t>
        </is>
      </c>
      <c r="H8982" s="3" t="inlineStr">
        <is>
          <t>계획관리지역</t>
        </is>
      </c>
      <c r="I8982" s="3" t="inlineStr">
        <is>
          <t>답</t>
        </is>
      </c>
      <c r="J8982" s="3" t="inlineStr">
        <is>
          <t>유구읍</t>
        </is>
      </c>
    </row>
    <row r="8983">
      <c r="A8983" s="3" t="n">
        <v>2022</v>
      </c>
      <c r="B8983" s="4" t="n">
        <v>3200</v>
      </c>
      <c r="C8983" s="4" t="n">
        <v>883</v>
      </c>
      <c r="D8983" s="4" t="n">
        <v>267.1075</v>
      </c>
      <c r="E8983" s="5" t="n">
        <v>12</v>
      </c>
      <c r="F8983" s="3" t="inlineStr">
        <is>
          <t>유구읍</t>
        </is>
      </c>
      <c r="G8983" s="3" t="inlineStr">
        <is>
          <t>만천리</t>
        </is>
      </c>
      <c r="H8983" s="3" t="inlineStr">
        <is>
          <t>계획관리지역</t>
        </is>
      </c>
      <c r="I8983" s="3" t="inlineStr">
        <is>
          <t>답</t>
        </is>
      </c>
      <c r="J8983" s="3" t="inlineStr">
        <is>
          <t>유구읍</t>
        </is>
      </c>
    </row>
    <row r="8984">
      <c r="A8984" s="3" t="n">
        <v>2022</v>
      </c>
      <c r="B8984" s="4" t="n">
        <v>1850</v>
      </c>
      <c r="C8984" s="4" t="n">
        <v>774</v>
      </c>
      <c r="D8984" s="4" t="n">
        <v>234.135</v>
      </c>
      <c r="E8984" s="5" t="n">
        <v>7.9</v>
      </c>
      <c r="F8984" s="3" t="inlineStr">
        <is>
          <t>유구읍</t>
        </is>
      </c>
      <c r="G8984" s="3" t="inlineStr">
        <is>
          <t>만천리</t>
        </is>
      </c>
      <c r="H8984" s="3" t="inlineStr">
        <is>
          <t>농림지역</t>
        </is>
      </c>
      <c r="I8984" s="3" t="inlineStr">
        <is>
          <t>전</t>
        </is>
      </c>
      <c r="J8984" s="3" t="inlineStr">
        <is>
          <t>유구읍</t>
        </is>
      </c>
    </row>
    <row r="8985">
      <c r="A8985" s="3" t="n">
        <v>2022</v>
      </c>
      <c r="B8985" s="4" t="n">
        <v>7950</v>
      </c>
      <c r="C8985" s="4" t="n">
        <v>2916</v>
      </c>
      <c r="D8985" s="4" t="n">
        <v>882.0899999999999</v>
      </c>
      <c r="E8985" s="5" t="n">
        <v>9</v>
      </c>
      <c r="F8985" s="3" t="inlineStr">
        <is>
          <t>유구읍</t>
        </is>
      </c>
      <c r="G8985" s="3" t="inlineStr">
        <is>
          <t>만천리</t>
        </is>
      </c>
      <c r="H8985" s="3" t="inlineStr">
        <is>
          <t>농림지역</t>
        </is>
      </c>
      <c r="I8985" s="3" t="inlineStr">
        <is>
          <t>답</t>
        </is>
      </c>
      <c r="J8985" s="3" t="inlineStr">
        <is>
          <t>유구읍</t>
        </is>
      </c>
    </row>
    <row r="8986">
      <c r="A8986" s="3" t="n">
        <v>2022</v>
      </c>
      <c r="B8986" s="4" t="n">
        <v>14820</v>
      </c>
      <c r="C8986" s="4" t="n">
        <v>1962</v>
      </c>
      <c r="D8986" s="4" t="n">
        <v>593.505</v>
      </c>
      <c r="E8986" s="5" t="n">
        <v>25</v>
      </c>
      <c r="F8986" s="3" t="inlineStr">
        <is>
          <t>유구읍</t>
        </is>
      </c>
      <c r="G8986" s="3" t="inlineStr">
        <is>
          <t>연종리</t>
        </is>
      </c>
      <c r="H8986" s="3" t="inlineStr">
        <is>
          <t>생산관리지역</t>
        </is>
      </c>
      <c r="I8986" s="3" t="inlineStr">
        <is>
          <t>임야</t>
        </is>
      </c>
      <c r="J8986" s="3" t="inlineStr">
        <is>
          <t>유구읍</t>
        </is>
      </c>
    </row>
    <row r="8987">
      <c r="A8987" s="3" t="n">
        <v>2022</v>
      </c>
      <c r="B8987" s="4" t="n">
        <v>5000</v>
      </c>
      <c r="C8987" s="4" t="n">
        <v>1091</v>
      </c>
      <c r="D8987" s="4" t="n">
        <v>330.0275</v>
      </c>
      <c r="E8987" s="5" t="n">
        <v>15.2</v>
      </c>
      <c r="F8987" s="3" t="inlineStr">
        <is>
          <t>유구읍</t>
        </is>
      </c>
      <c r="G8987" s="3" t="inlineStr">
        <is>
          <t>녹천리</t>
        </is>
      </c>
      <c r="H8987" s="3" t="inlineStr">
        <is>
          <t>계획관리지역</t>
        </is>
      </c>
      <c r="I8987" s="3" t="inlineStr">
        <is>
          <t>도로</t>
        </is>
      </c>
      <c r="J8987" s="3" t="inlineStr">
        <is>
          <t>유구읍</t>
        </is>
      </c>
    </row>
    <row r="8988">
      <c r="A8988" s="3" t="n">
        <v>2022</v>
      </c>
      <c r="B8988" s="4" t="n">
        <v>600</v>
      </c>
      <c r="C8988" s="4" t="n">
        <v>89</v>
      </c>
      <c r="D8988" s="4" t="n">
        <v>26.9225</v>
      </c>
      <c r="E8988" s="5" t="n">
        <v>22.3</v>
      </c>
      <c r="F8988" s="3" t="inlineStr">
        <is>
          <t>유구읍</t>
        </is>
      </c>
      <c r="G8988" s="3" t="inlineStr">
        <is>
          <t>동해리</t>
        </is>
      </c>
      <c r="H8988" s="3" t="inlineStr">
        <is>
          <t>계획관리지역</t>
        </is>
      </c>
      <c r="I8988" s="3" t="inlineStr">
        <is>
          <t>하천</t>
        </is>
      </c>
      <c r="J8988" s="3" t="inlineStr">
        <is>
          <t>유구읍</t>
        </is>
      </c>
    </row>
    <row r="8989">
      <c r="A8989" s="3" t="n">
        <v>2022</v>
      </c>
      <c r="B8989" s="4" t="n">
        <v>4800</v>
      </c>
      <c r="C8989" s="4" t="n">
        <v>2303</v>
      </c>
      <c r="D8989" s="4" t="n">
        <v>696.6575</v>
      </c>
      <c r="E8989" s="5" t="n">
        <v>6.9</v>
      </c>
      <c r="F8989" s="3" t="inlineStr">
        <is>
          <t>유구읍</t>
        </is>
      </c>
      <c r="G8989" s="3" t="inlineStr">
        <is>
          <t>석남리</t>
        </is>
      </c>
      <c r="H8989" s="3" t="inlineStr">
        <is>
          <t>계획관리지역</t>
        </is>
      </c>
      <c r="I8989" s="3" t="inlineStr">
        <is>
          <t>임야</t>
        </is>
      </c>
      <c r="J8989" s="3" t="inlineStr">
        <is>
          <t>유구읍</t>
        </is>
      </c>
    </row>
    <row r="8990">
      <c r="A8990" s="3" t="n">
        <v>2022</v>
      </c>
      <c r="B8990" s="4" t="n">
        <v>7900</v>
      </c>
      <c r="C8990" s="4" t="n">
        <v>1802</v>
      </c>
      <c r="D8990" s="4" t="n">
        <v>545.105</v>
      </c>
      <c r="E8990" s="5" t="n">
        <v>14.5</v>
      </c>
      <c r="F8990" s="3" t="inlineStr">
        <is>
          <t>유구읍</t>
        </is>
      </c>
      <c r="G8990" s="3" t="inlineStr">
        <is>
          <t>석남리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유구읍</t>
        </is>
      </c>
    </row>
    <row r="8991">
      <c r="A8991" s="3" t="n">
        <v>2022</v>
      </c>
      <c r="B8991" s="4" t="n">
        <v>1500</v>
      </c>
      <c r="C8991" s="4" t="n">
        <v>157</v>
      </c>
      <c r="D8991" s="4" t="n">
        <v>47.4925</v>
      </c>
      <c r="E8991" s="5" t="n">
        <v>31.6</v>
      </c>
      <c r="F8991" s="3" t="inlineStr">
        <is>
          <t>유구읍</t>
        </is>
      </c>
      <c r="G8991" s="3" t="inlineStr">
        <is>
          <t>문금리</t>
        </is>
      </c>
      <c r="H8991" s="3" t="inlineStr">
        <is>
          <t>계획관리지역</t>
        </is>
      </c>
      <c r="I8991" s="3" t="inlineStr">
        <is>
          <t>답</t>
        </is>
      </c>
      <c r="J8991" s="3" t="inlineStr">
        <is>
          <t>유구읍</t>
        </is>
      </c>
    </row>
    <row r="8992">
      <c r="A8992" s="3" t="n">
        <v>2022</v>
      </c>
      <c r="B8992" s="4" t="n">
        <v>4000</v>
      </c>
      <c r="C8992" s="4" t="n">
        <v>563</v>
      </c>
      <c r="D8992" s="4" t="n">
        <v>170.3075</v>
      </c>
      <c r="E8992" s="5" t="n">
        <v>23.5</v>
      </c>
      <c r="F8992" s="3" t="inlineStr">
        <is>
          <t>유구읍</t>
        </is>
      </c>
      <c r="G8992" s="3" t="inlineStr">
        <is>
          <t>백교리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유구읍</t>
        </is>
      </c>
    </row>
    <row r="8993">
      <c r="A8993" s="3" t="n">
        <v>2023</v>
      </c>
      <c r="B8993" s="4" t="n">
        <v>899</v>
      </c>
      <c r="C8993" s="4" t="n">
        <v>310</v>
      </c>
      <c r="D8993" s="4" t="n">
        <v>93.77499999999999</v>
      </c>
      <c r="E8993" s="5" t="n">
        <v>9.6</v>
      </c>
      <c r="F8993" s="3" t="inlineStr">
        <is>
          <t>유구읍</t>
        </is>
      </c>
      <c r="G8993" s="3" t="inlineStr">
        <is>
          <t>유구리</t>
        </is>
      </c>
      <c r="H8993" s="3" t="inlineStr">
        <is>
          <t>계획관리지역</t>
        </is>
      </c>
      <c r="I8993" s="3" t="inlineStr">
        <is>
          <t>답</t>
        </is>
      </c>
      <c r="J8993" s="3" t="inlineStr">
        <is>
          <t>유구읍</t>
        </is>
      </c>
    </row>
    <row r="8994">
      <c r="A8994" s="3" t="n">
        <v>2023</v>
      </c>
      <c r="B8994" s="4" t="n">
        <v>1000</v>
      </c>
      <c r="C8994" s="4" t="n">
        <v>2645</v>
      </c>
      <c r="D8994" s="4" t="n">
        <v>800.1125</v>
      </c>
      <c r="E8994" s="5" t="n">
        <v>1.2</v>
      </c>
      <c r="F8994" s="3" t="inlineStr">
        <is>
          <t>유구읍</t>
        </is>
      </c>
      <c r="G8994" s="3" t="inlineStr">
        <is>
          <t>동해리</t>
        </is>
      </c>
      <c r="H8994" s="3" t="inlineStr">
        <is>
          <t>계획관리지역</t>
        </is>
      </c>
      <c r="I8994" s="3" t="inlineStr">
        <is>
          <t>임야</t>
        </is>
      </c>
      <c r="J8994" s="3" t="inlineStr">
        <is>
          <t>유구읍</t>
        </is>
      </c>
    </row>
    <row r="8995">
      <c r="A8995" s="3" t="n">
        <v>2023</v>
      </c>
      <c r="B8995" s="4" t="n">
        <v>700</v>
      </c>
      <c r="C8995" s="4" t="n">
        <v>331</v>
      </c>
      <c r="D8995" s="4" t="n">
        <v>100.1275</v>
      </c>
      <c r="E8995" s="5" t="n">
        <v>7</v>
      </c>
      <c r="F8995" s="3" t="inlineStr">
        <is>
          <t>유구읍</t>
        </is>
      </c>
      <c r="G8995" s="3" t="inlineStr">
        <is>
          <t>동해리</t>
        </is>
      </c>
      <c r="H8995" s="3" t="inlineStr">
        <is>
          <t>계획관리지역</t>
        </is>
      </c>
      <c r="I8995" s="3" t="inlineStr">
        <is>
          <t>답</t>
        </is>
      </c>
      <c r="J8995" s="3" t="inlineStr">
        <is>
          <t>유구읍</t>
        </is>
      </c>
    </row>
    <row r="8996">
      <c r="A8996" s="3" t="n">
        <v>2023</v>
      </c>
      <c r="B8996" s="4" t="n">
        <v>700</v>
      </c>
      <c r="C8996" s="4" t="n">
        <v>331</v>
      </c>
      <c r="D8996" s="4" t="n">
        <v>100.1275</v>
      </c>
      <c r="E8996" s="5" t="n">
        <v>7</v>
      </c>
      <c r="F8996" s="3" t="inlineStr">
        <is>
          <t>유구읍</t>
        </is>
      </c>
      <c r="G8996" s="3" t="inlineStr">
        <is>
          <t>동해리</t>
        </is>
      </c>
      <c r="H8996" s="3" t="inlineStr">
        <is>
          <t>계획관리지역</t>
        </is>
      </c>
      <c r="I8996" s="3" t="inlineStr">
        <is>
          <t>답</t>
        </is>
      </c>
      <c r="J8996" s="3" t="inlineStr">
        <is>
          <t>유구읍</t>
        </is>
      </c>
    </row>
    <row r="8997">
      <c r="A8997" s="3" t="n">
        <v>2023</v>
      </c>
      <c r="B8997" s="4" t="n">
        <v>700</v>
      </c>
      <c r="C8997" s="4" t="n">
        <v>331</v>
      </c>
      <c r="D8997" s="4" t="n">
        <v>100.1275</v>
      </c>
      <c r="E8997" s="5" t="n">
        <v>7</v>
      </c>
      <c r="F8997" s="3" t="inlineStr">
        <is>
          <t>유구읍</t>
        </is>
      </c>
      <c r="G8997" s="3" t="inlineStr">
        <is>
          <t>동해리</t>
        </is>
      </c>
      <c r="H8997" s="3" t="inlineStr">
        <is>
          <t>계획관리지역</t>
        </is>
      </c>
      <c r="I8997" s="3" t="inlineStr">
        <is>
          <t>답</t>
        </is>
      </c>
      <c r="J8997" s="3" t="inlineStr">
        <is>
          <t>유구읍</t>
        </is>
      </c>
    </row>
    <row r="8998">
      <c r="A8998" s="3" t="n">
        <v>2023</v>
      </c>
      <c r="B8998" s="4" t="n">
        <v>700</v>
      </c>
      <c r="C8998" s="4" t="n">
        <v>331</v>
      </c>
      <c r="D8998" s="4" t="n">
        <v>100.1275</v>
      </c>
      <c r="E8998" s="5" t="n">
        <v>7</v>
      </c>
      <c r="F8998" s="3" t="inlineStr">
        <is>
          <t>유구읍</t>
        </is>
      </c>
      <c r="G8998" s="3" t="inlineStr">
        <is>
          <t>동해리</t>
        </is>
      </c>
      <c r="H8998" s="3" t="inlineStr">
        <is>
          <t>계획관리지역</t>
        </is>
      </c>
      <c r="I8998" s="3" t="inlineStr">
        <is>
          <t>답</t>
        </is>
      </c>
      <c r="J8998" s="3" t="inlineStr">
        <is>
          <t>유구읍</t>
        </is>
      </c>
    </row>
    <row r="8999">
      <c r="A8999" s="3" t="n">
        <v>2023</v>
      </c>
      <c r="B8999" s="4" t="n">
        <v>1000</v>
      </c>
      <c r="C8999" s="4" t="n">
        <v>166</v>
      </c>
      <c r="D8999" s="4" t="n">
        <v>50.215</v>
      </c>
      <c r="E8999" s="5" t="n">
        <v>19.9</v>
      </c>
      <c r="F8999" s="3" t="inlineStr">
        <is>
          <t>유구읍</t>
        </is>
      </c>
      <c r="G8999" s="3" t="inlineStr">
        <is>
          <t>세동리</t>
        </is>
      </c>
      <c r="H8999" s="3" t="inlineStr">
        <is>
          <t>계획관리지역</t>
        </is>
      </c>
      <c r="I8999" s="3" t="inlineStr">
        <is>
          <t>전</t>
        </is>
      </c>
      <c r="J8999" s="3" t="inlineStr">
        <is>
          <t>유구읍</t>
        </is>
      </c>
    </row>
    <row r="9000">
      <c r="A9000" s="3" t="n">
        <v>2023</v>
      </c>
      <c r="B9000" s="4" t="n">
        <v>1900</v>
      </c>
      <c r="C9000" s="4" t="n">
        <v>350</v>
      </c>
      <c r="D9000" s="4" t="n">
        <v>105.875</v>
      </c>
      <c r="E9000" s="5" t="n">
        <v>17.9</v>
      </c>
      <c r="F9000" s="3" t="inlineStr">
        <is>
          <t>유구읍</t>
        </is>
      </c>
      <c r="G9000" s="3" t="inlineStr">
        <is>
          <t>만천리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유구읍</t>
        </is>
      </c>
    </row>
    <row r="9001">
      <c r="A9001" s="3" t="n">
        <v>2023</v>
      </c>
      <c r="B9001" s="4" t="n">
        <v>4654</v>
      </c>
      <c r="C9001" s="4" t="n">
        <v>21818</v>
      </c>
      <c r="D9001" s="4" t="n">
        <v>6599.945</v>
      </c>
      <c r="E9001" s="5" t="n">
        <v>0.7</v>
      </c>
      <c r="F9001" s="3" t="inlineStr">
        <is>
          <t>유구읍</t>
        </is>
      </c>
      <c r="G9001" s="3" t="inlineStr">
        <is>
          <t>백교리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유구읍</t>
        </is>
      </c>
    </row>
    <row r="9002">
      <c r="A9002" s="3" t="n">
        <v>2023</v>
      </c>
      <c r="B9002" s="4" t="n">
        <v>1800</v>
      </c>
      <c r="C9002" s="4" t="n">
        <v>221</v>
      </c>
      <c r="D9002" s="4" t="n">
        <v>66.85249999999999</v>
      </c>
      <c r="E9002" s="5" t="n">
        <v>26.9</v>
      </c>
      <c r="F9002" s="3" t="inlineStr">
        <is>
          <t>유구읍</t>
        </is>
      </c>
      <c r="G9002" s="3" t="inlineStr">
        <is>
          <t>구계리</t>
        </is>
      </c>
      <c r="H9002" s="3" t="inlineStr">
        <is>
          <t>보전관리지역</t>
        </is>
      </c>
      <c r="I9002" s="3" t="inlineStr">
        <is>
          <t>전</t>
        </is>
      </c>
      <c r="J9002" s="3" t="inlineStr">
        <is>
          <t>유구읍</t>
        </is>
      </c>
    </row>
    <row r="9003">
      <c r="A9003" s="3" t="n">
        <v>2025</v>
      </c>
      <c r="B9003" s="4" t="n">
        <v>7574</v>
      </c>
      <c r="C9003" s="4" t="n">
        <v>1052</v>
      </c>
      <c r="D9003" s="4" t="n">
        <v>318.23</v>
      </c>
      <c r="E9003" s="5" t="n">
        <v>23.8</v>
      </c>
      <c r="F9003" s="3" t="inlineStr">
        <is>
          <t>강내면</t>
        </is>
      </c>
      <c r="G9003" s="3" t="inlineStr">
        <is>
          <t>연정리</t>
        </is>
      </c>
      <c r="H9003" s="3" t="inlineStr">
        <is>
          <t>보전관리지역</t>
        </is>
      </c>
      <c r="I9003" s="3" t="inlineStr">
        <is>
          <t>전</t>
        </is>
      </c>
      <c r="J9003" s="3" t="inlineStr">
        <is>
          <t>강내면</t>
        </is>
      </c>
    </row>
    <row r="9004">
      <c r="A9004" s="3" t="n">
        <v>2025</v>
      </c>
      <c r="B9004" s="4" t="n">
        <v>1015</v>
      </c>
      <c r="C9004" s="4" t="n">
        <v>141</v>
      </c>
      <c r="D9004" s="4" t="n">
        <v>42.6525</v>
      </c>
      <c r="E9004" s="5" t="n">
        <v>23.8</v>
      </c>
      <c r="F9004" s="3" t="inlineStr">
        <is>
          <t>강내면</t>
        </is>
      </c>
      <c r="G9004" s="3" t="inlineStr">
        <is>
          <t>연정리</t>
        </is>
      </c>
      <c r="H9004" s="3" t="inlineStr">
        <is>
          <t>보전관리지역</t>
        </is>
      </c>
      <c r="I9004" s="3" t="inlineStr">
        <is>
          <t>전</t>
        </is>
      </c>
      <c r="J9004" s="3" t="inlineStr">
        <is>
          <t>강내면</t>
        </is>
      </c>
    </row>
    <row r="9005">
      <c r="A9005" s="3" t="n">
        <v>2025</v>
      </c>
      <c r="B9005" s="4" t="n">
        <v>1800</v>
      </c>
      <c r="C9005" s="4" t="n">
        <v>102</v>
      </c>
      <c r="D9005" s="4" t="n">
        <v>30.855</v>
      </c>
      <c r="E9005" s="5" t="n">
        <v>58.3</v>
      </c>
      <c r="F9005" s="3" t="inlineStr">
        <is>
          <t>오송읍</t>
        </is>
      </c>
      <c r="G9005" s="3" t="inlineStr">
        <is>
          <t>동평리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오송읍</t>
        </is>
      </c>
    </row>
    <row r="9006">
      <c r="A9006" s="3" t="n">
        <v>2025</v>
      </c>
      <c r="B9006" s="4" t="n">
        <v>52754</v>
      </c>
      <c r="C9006" s="4" t="n">
        <v>2501.8</v>
      </c>
      <c r="D9006" s="4" t="n">
        <v>756.7945000000001</v>
      </c>
      <c r="E9006" s="5" t="n">
        <v>69.7</v>
      </c>
      <c r="F9006" s="3" t="inlineStr">
        <is>
          <t>오송읍</t>
        </is>
      </c>
      <c r="G9006" s="3" t="inlineStr">
        <is>
          <t>연제리</t>
        </is>
      </c>
      <c r="H9006" s="3" t="inlineStr">
        <is>
          <t>준공업지역</t>
        </is>
      </c>
      <c r="I9006" s="3" t="inlineStr">
        <is>
          <t>대</t>
        </is>
      </c>
      <c r="J9006" s="3" t="inlineStr">
        <is>
          <t>오송읍</t>
        </is>
      </c>
    </row>
    <row r="9007">
      <c r="A9007" s="3" t="n">
        <v>2025</v>
      </c>
      <c r="B9007" s="4" t="n">
        <v>53130</v>
      </c>
      <c r="C9007" s="4" t="n">
        <v>2519.6</v>
      </c>
      <c r="D9007" s="4" t="n">
        <v>762.179</v>
      </c>
      <c r="E9007" s="5" t="n">
        <v>69.7</v>
      </c>
      <c r="F9007" s="3" t="inlineStr">
        <is>
          <t>오송읍</t>
        </is>
      </c>
      <c r="G9007" s="3" t="inlineStr">
        <is>
          <t>연제리</t>
        </is>
      </c>
      <c r="H9007" s="3" t="inlineStr">
        <is>
          <t>준공업지역</t>
        </is>
      </c>
      <c r="I9007" s="3" t="inlineStr">
        <is>
          <t>대</t>
        </is>
      </c>
      <c r="J9007" s="3" t="inlineStr">
        <is>
          <t>오송읍</t>
        </is>
      </c>
    </row>
    <row r="9008">
      <c r="A9008" s="3" t="n">
        <v>2024</v>
      </c>
      <c r="B9008" s="4" t="n">
        <v>15500</v>
      </c>
      <c r="C9008" s="4" t="n">
        <v>10871</v>
      </c>
      <c r="D9008" s="4" t="n">
        <v>3288.4775</v>
      </c>
      <c r="E9008" s="5" t="n">
        <v>4.7</v>
      </c>
      <c r="F9008" s="3" t="inlineStr">
        <is>
          <t>유구읍</t>
        </is>
      </c>
      <c r="G9008" s="3" t="inlineStr">
        <is>
          <t>만천리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유구읍</t>
        </is>
      </c>
    </row>
    <row r="9009">
      <c r="A9009" s="3" t="n">
        <v>2023</v>
      </c>
      <c r="B9009" s="4" t="n">
        <v>11855</v>
      </c>
      <c r="C9009" s="4" t="n">
        <v>196.3</v>
      </c>
      <c r="D9009" s="4" t="n">
        <v>59.38075</v>
      </c>
      <c r="E9009" s="5" t="n">
        <v>199.6</v>
      </c>
      <c r="F9009" s="3" t="inlineStr">
        <is>
          <t>강내면</t>
        </is>
      </c>
      <c r="G9009" s="3" t="inlineStr">
        <is>
          <t>사곡리</t>
        </is>
      </c>
      <c r="H9009" s="3" t="inlineStr">
        <is>
          <t>보전관리지역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2023</v>
      </c>
      <c r="B9010" s="4" t="n">
        <v>10000</v>
      </c>
      <c r="C9010" s="4" t="n">
        <v>517</v>
      </c>
      <c r="D9010" s="4" t="n">
        <v>156.3925</v>
      </c>
      <c r="E9010" s="5" t="n">
        <v>63.9</v>
      </c>
      <c r="F9010" s="3" t="inlineStr">
        <is>
          <t>오송읍</t>
        </is>
      </c>
      <c r="G9010" s="3" t="inlineStr">
        <is>
          <t>정중리</t>
        </is>
      </c>
      <c r="H9010" s="3" t="inlineStr">
        <is>
          <t>생산관리지역</t>
        </is>
      </c>
      <c r="I9010" s="3" t="inlineStr">
        <is>
          <t>전</t>
        </is>
      </c>
      <c r="J9010" s="3" t="inlineStr">
        <is>
          <t>오송읍</t>
        </is>
      </c>
    </row>
    <row r="9011">
      <c r="A9011" s="3" t="n">
        <v>2023</v>
      </c>
      <c r="B9011" s="4" t="n">
        <v>2208</v>
      </c>
      <c r="C9011" s="4" t="n">
        <v>1216</v>
      </c>
      <c r="D9011" s="4" t="n">
        <v>367.84</v>
      </c>
      <c r="E9011" s="5" t="n">
        <v>6</v>
      </c>
      <c r="F9011" s="3" t="inlineStr">
        <is>
          <t>강내면</t>
        </is>
      </c>
      <c r="G9011" s="3" t="inlineStr">
        <is>
          <t>궁현리</t>
        </is>
      </c>
      <c r="H9011" s="3" t="inlineStr">
        <is>
          <t>계획관리지역</t>
        </is>
      </c>
      <c r="I9011" s="3" t="inlineStr">
        <is>
          <t>전</t>
        </is>
      </c>
      <c r="J9011" s="3" t="inlineStr">
        <is>
          <t>강내면</t>
        </is>
      </c>
    </row>
    <row r="9012">
      <c r="A9012" s="3" t="n">
        <v>2023</v>
      </c>
      <c r="B9012" s="4" t="n">
        <v>3224</v>
      </c>
      <c r="C9012" s="4" t="n">
        <v>85</v>
      </c>
      <c r="D9012" s="4" t="n">
        <v>25.7125</v>
      </c>
      <c r="E9012" s="5" t="n">
        <v>125.4</v>
      </c>
      <c r="F9012" s="3" t="inlineStr">
        <is>
          <t>오송읍</t>
        </is>
      </c>
      <c r="G9012" s="3" t="inlineStr">
        <is>
          <t>정중리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오송읍</t>
        </is>
      </c>
    </row>
    <row r="9013">
      <c r="A9013" s="3" t="n">
        <v>2023</v>
      </c>
      <c r="B9013" s="4" t="n">
        <v>1403</v>
      </c>
      <c r="C9013" s="4" t="n">
        <v>37</v>
      </c>
      <c r="D9013" s="4" t="n">
        <v>11.1925</v>
      </c>
      <c r="E9013" s="5" t="n">
        <v>125.4</v>
      </c>
      <c r="F9013" s="3" t="inlineStr">
        <is>
          <t>오송읍</t>
        </is>
      </c>
      <c r="G9013" s="3" t="inlineStr">
        <is>
          <t>정중리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오송읍</t>
        </is>
      </c>
    </row>
    <row r="9014">
      <c r="A9014" s="3" t="n">
        <v>2023</v>
      </c>
      <c r="B9014" s="4" t="n">
        <v>8495</v>
      </c>
      <c r="C9014" s="4" t="n">
        <v>224</v>
      </c>
      <c r="D9014" s="4" t="n">
        <v>67.75999999999999</v>
      </c>
      <c r="E9014" s="5" t="n">
        <v>125.4</v>
      </c>
      <c r="F9014" s="3" t="inlineStr">
        <is>
          <t>오송읍</t>
        </is>
      </c>
      <c r="G9014" s="3" t="inlineStr">
        <is>
          <t>정중리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오송읍</t>
        </is>
      </c>
    </row>
    <row r="9015">
      <c r="A9015" s="3" t="n">
        <v>2023</v>
      </c>
      <c r="B9015" s="4" t="n">
        <v>40</v>
      </c>
      <c r="C9015" s="4" t="n">
        <v>1</v>
      </c>
      <c r="D9015" s="4" t="n">
        <v>0.3025</v>
      </c>
      <c r="E9015" s="5" t="n">
        <v>132.2</v>
      </c>
      <c r="F9015" s="3" t="inlineStr">
        <is>
          <t>오송읍</t>
        </is>
      </c>
      <c r="G9015" s="3" t="inlineStr">
        <is>
          <t>정중리</t>
        </is>
      </c>
      <c r="H9015" s="3" t="inlineStr">
        <is>
          <t>생산관리지역</t>
        </is>
      </c>
      <c r="I9015" s="3" t="inlineStr">
        <is>
          <t>전</t>
        </is>
      </c>
      <c r="J9015" s="3" t="inlineStr">
        <is>
          <t>오송읍</t>
        </is>
      </c>
    </row>
    <row r="9016">
      <c r="A9016" s="3" t="n">
        <v>2023</v>
      </c>
      <c r="B9016" s="4" t="n">
        <v>13653</v>
      </c>
      <c r="C9016" s="4" t="n">
        <v>360</v>
      </c>
      <c r="D9016" s="4" t="n">
        <v>108.9</v>
      </c>
      <c r="E9016" s="5" t="n">
        <v>125.4</v>
      </c>
      <c r="F9016" s="3" t="inlineStr">
        <is>
          <t>오송읍</t>
        </is>
      </c>
      <c r="G9016" s="3" t="inlineStr">
        <is>
          <t>정중리</t>
        </is>
      </c>
      <c r="H9016" s="3" t="inlineStr">
        <is>
          <t>생산관리지역</t>
        </is>
      </c>
      <c r="I9016" s="3" t="inlineStr">
        <is>
          <t>전</t>
        </is>
      </c>
      <c r="J9016" s="3" t="inlineStr">
        <is>
          <t>오송읍</t>
        </is>
      </c>
    </row>
    <row r="9017">
      <c r="A9017" s="3" t="n">
        <v>2023</v>
      </c>
      <c r="B9017" s="4" t="n">
        <v>13653</v>
      </c>
      <c r="C9017" s="4" t="n">
        <v>360</v>
      </c>
      <c r="D9017" s="4" t="n">
        <v>108.9</v>
      </c>
      <c r="E9017" s="5" t="n">
        <v>125.4</v>
      </c>
      <c r="F9017" s="3" t="inlineStr">
        <is>
          <t>오송읍</t>
        </is>
      </c>
      <c r="G9017" s="3" t="inlineStr">
        <is>
          <t>정중리</t>
        </is>
      </c>
      <c r="H9017" s="3" t="inlineStr">
        <is>
          <t>생산관리지역</t>
        </is>
      </c>
      <c r="I9017" s="3" t="inlineStr">
        <is>
          <t>전</t>
        </is>
      </c>
      <c r="J9017" s="3" t="inlineStr">
        <is>
          <t>오송읍</t>
        </is>
      </c>
    </row>
    <row r="9018">
      <c r="A9018" s="3" t="n">
        <v>2023</v>
      </c>
      <c r="B9018" s="4" t="n">
        <v>3262</v>
      </c>
      <c r="C9018" s="4" t="n">
        <v>86</v>
      </c>
      <c r="D9018" s="4" t="n">
        <v>26.015</v>
      </c>
      <c r="E9018" s="5" t="n">
        <v>125.4</v>
      </c>
      <c r="F9018" s="3" t="inlineStr">
        <is>
          <t>오송읍</t>
        </is>
      </c>
      <c r="G9018" s="3" t="inlineStr">
        <is>
          <t>정중리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오송읍</t>
        </is>
      </c>
    </row>
    <row r="9019">
      <c r="A9019" s="3" t="n">
        <v>2023</v>
      </c>
      <c r="B9019" s="4" t="n">
        <v>872</v>
      </c>
      <c r="C9019" s="4" t="n">
        <v>23</v>
      </c>
      <c r="D9019" s="4" t="n">
        <v>6.9575</v>
      </c>
      <c r="E9019" s="5" t="n">
        <v>125.3</v>
      </c>
      <c r="F9019" s="3" t="inlineStr">
        <is>
          <t>오송읍</t>
        </is>
      </c>
      <c r="G9019" s="3" t="inlineStr">
        <is>
          <t>정중리</t>
        </is>
      </c>
      <c r="H9019" s="3" t="inlineStr">
        <is>
          <t>계획관리지역</t>
        </is>
      </c>
      <c r="I9019" s="3" t="inlineStr">
        <is>
          <t>도로</t>
        </is>
      </c>
      <c r="J9019" s="3" t="inlineStr">
        <is>
          <t>오송읍</t>
        </is>
      </c>
    </row>
    <row r="9020">
      <c r="A9020" s="3" t="n">
        <v>2023</v>
      </c>
      <c r="B9020" s="4" t="n">
        <v>303</v>
      </c>
      <c r="C9020" s="4" t="n">
        <v>8</v>
      </c>
      <c r="D9020" s="4" t="n">
        <v>2.42</v>
      </c>
      <c r="E9020" s="5" t="n">
        <v>125.2</v>
      </c>
      <c r="F9020" s="3" t="inlineStr">
        <is>
          <t>오송읍</t>
        </is>
      </c>
      <c r="G9020" s="3" t="inlineStr">
        <is>
          <t>정중리</t>
        </is>
      </c>
      <c r="H9020" s="3" t="inlineStr">
        <is>
          <t>계획관리지역</t>
        </is>
      </c>
      <c r="I9020" s="3" t="inlineStr">
        <is>
          <t>도로</t>
        </is>
      </c>
      <c r="J9020" s="3" t="inlineStr">
        <is>
          <t>오송읍</t>
        </is>
      </c>
    </row>
    <row r="9021">
      <c r="A9021" s="3" t="n">
        <v>2023</v>
      </c>
      <c r="B9021" s="4" t="n">
        <v>12095</v>
      </c>
      <c r="C9021" s="4" t="n">
        <v>319</v>
      </c>
      <c r="D9021" s="4" t="n">
        <v>96.4975</v>
      </c>
      <c r="E9021" s="5" t="n">
        <v>125.3</v>
      </c>
      <c r="F9021" s="3" t="inlineStr">
        <is>
          <t>오송읍</t>
        </is>
      </c>
      <c r="G9021" s="3" t="inlineStr">
        <is>
          <t>정중리</t>
        </is>
      </c>
      <c r="H9021" s="3" t="inlineStr">
        <is>
          <t>계획관리지역</t>
        </is>
      </c>
      <c r="I9021" s="3" t="inlineStr">
        <is>
          <t>도로</t>
        </is>
      </c>
      <c r="J9021" s="3" t="inlineStr">
        <is>
          <t>오송읍</t>
        </is>
      </c>
    </row>
    <row r="9022">
      <c r="A9022" s="3" t="n">
        <v>2023</v>
      </c>
      <c r="B9022" s="4" t="n">
        <v>68322</v>
      </c>
      <c r="C9022" s="4" t="n">
        <v>1914.2</v>
      </c>
      <c r="D9022" s="4" t="n">
        <v>579.0454999999999</v>
      </c>
      <c r="E9022" s="5" t="n">
        <v>118</v>
      </c>
      <c r="F9022" s="3" t="inlineStr">
        <is>
          <t>오송읍</t>
        </is>
      </c>
      <c r="G9022" s="3" t="inlineStr">
        <is>
          <t>정중리</t>
        </is>
      </c>
      <c r="H9022" s="3" t="inlineStr">
        <is>
          <t>일반공업지역</t>
        </is>
      </c>
      <c r="I9022" s="3" t="inlineStr">
        <is>
          <t>대</t>
        </is>
      </c>
      <c r="J9022" s="3" t="inlineStr">
        <is>
          <t>오송읍</t>
        </is>
      </c>
    </row>
    <row r="9023">
      <c r="A9023" s="3" t="n">
        <v>2023</v>
      </c>
      <c r="B9023" s="4" t="n">
        <v>1300</v>
      </c>
      <c r="C9023" s="4" t="n">
        <v>108</v>
      </c>
      <c r="D9023" s="4" t="n">
        <v>32.67</v>
      </c>
      <c r="E9023" s="5" t="n">
        <v>39.8</v>
      </c>
      <c r="F9023" s="3" t="inlineStr">
        <is>
          <t>오송읍</t>
        </is>
      </c>
      <c r="G9023" s="3" t="inlineStr">
        <is>
          <t>연제리</t>
        </is>
      </c>
      <c r="H9023" s="3" t="inlineStr">
        <is>
          <t>계획관리지역</t>
        </is>
      </c>
      <c r="I9023" s="3" t="inlineStr">
        <is>
          <t>도로</t>
        </is>
      </c>
      <c r="J9023" s="3" t="inlineStr">
        <is>
          <t>오송읍</t>
        </is>
      </c>
    </row>
    <row r="9024">
      <c r="A9024" s="3" t="n">
        <v>2025</v>
      </c>
      <c r="B9024" s="4" t="n">
        <v>8836</v>
      </c>
      <c r="C9024" s="4" t="n">
        <v>2388</v>
      </c>
      <c r="D9024" s="4" t="n">
        <v>722.37</v>
      </c>
      <c r="E9024" s="5" t="n">
        <v>12.2</v>
      </c>
      <c r="F9024" s="3" t="inlineStr">
        <is>
          <t>유구읍</t>
        </is>
      </c>
      <c r="G9024" s="3" t="inlineStr">
        <is>
          <t>입석리</t>
        </is>
      </c>
      <c r="H9024" s="3" t="inlineStr">
        <is>
          <t>농림지역</t>
        </is>
      </c>
      <c r="I9024" s="3" t="inlineStr">
        <is>
          <t>답</t>
        </is>
      </c>
      <c r="J9024" s="3" t="inlineStr">
        <is>
          <t>유구읍</t>
        </is>
      </c>
    </row>
    <row r="9025">
      <c r="A9025" s="3" t="n">
        <v>2025</v>
      </c>
      <c r="B9025" s="4" t="n">
        <v>350</v>
      </c>
      <c r="C9025" s="4" t="n">
        <v>89</v>
      </c>
      <c r="D9025" s="4" t="n">
        <v>26.9225</v>
      </c>
      <c r="E9025" s="5" t="n">
        <v>13</v>
      </c>
      <c r="F9025" s="3" t="inlineStr">
        <is>
          <t>유구읍</t>
        </is>
      </c>
      <c r="G9025" s="3" t="inlineStr">
        <is>
          <t>석남리</t>
        </is>
      </c>
      <c r="H9025" s="3" t="inlineStr">
        <is>
          <t>제2종일반주거지역</t>
        </is>
      </c>
      <c r="I9025" s="3" t="inlineStr">
        <is>
          <t>답</t>
        </is>
      </c>
      <c r="J9025" s="3" t="inlineStr">
        <is>
          <t>유구읍</t>
        </is>
      </c>
    </row>
    <row r="9026">
      <c r="A9026" s="3" t="n">
        <v>2025</v>
      </c>
      <c r="B9026" s="4" t="n">
        <v>10000</v>
      </c>
      <c r="C9026" s="4" t="n">
        <v>1969</v>
      </c>
      <c r="D9026" s="4" t="n">
        <v>595.6224999999999</v>
      </c>
      <c r="E9026" s="5" t="n">
        <v>16.8</v>
      </c>
      <c r="F9026" s="3" t="inlineStr">
        <is>
          <t>유구읍</t>
        </is>
      </c>
      <c r="G9026" s="3" t="inlineStr">
        <is>
          <t>유구리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유구읍</t>
        </is>
      </c>
    </row>
    <row r="9027">
      <c r="A9027" s="3" t="n">
        <v>2025</v>
      </c>
      <c r="B9027" s="4" t="n">
        <v>7333</v>
      </c>
      <c r="C9027" s="4" t="n">
        <v>1956</v>
      </c>
      <c r="D9027" s="4" t="n">
        <v>591.6899999999999</v>
      </c>
      <c r="E9027" s="5" t="n">
        <v>12.4</v>
      </c>
      <c r="F9027" s="3" t="inlineStr">
        <is>
          <t>유구읍</t>
        </is>
      </c>
      <c r="G9027" s="3" t="inlineStr">
        <is>
          <t>문금리</t>
        </is>
      </c>
      <c r="H9027" s="3" t="inlineStr">
        <is>
          <t>농림지역</t>
        </is>
      </c>
      <c r="I9027" s="3" t="inlineStr">
        <is>
          <t>답</t>
        </is>
      </c>
      <c r="J9027" s="3" t="inlineStr">
        <is>
          <t>유구읍</t>
        </is>
      </c>
    </row>
    <row r="9028">
      <c r="A9028" s="3" t="n">
        <v>2024</v>
      </c>
      <c r="B9028" s="4" t="n">
        <v>120</v>
      </c>
      <c r="C9028" s="4" t="n">
        <v>37</v>
      </c>
      <c r="D9028" s="4" t="n">
        <v>11.1925</v>
      </c>
      <c r="E9028" s="5" t="n">
        <v>10.7</v>
      </c>
      <c r="F9028" s="3" t="inlineStr">
        <is>
          <t>유구읍</t>
        </is>
      </c>
      <c r="G9028" s="3" t="inlineStr">
        <is>
          <t>노동리</t>
        </is>
      </c>
      <c r="H9028" s="3" t="inlineStr">
        <is>
          <t>계획관리지역</t>
        </is>
      </c>
      <c r="I9028" s="3" t="inlineStr">
        <is>
          <t>전</t>
        </is>
      </c>
      <c r="J9028" s="3" t="inlineStr">
        <is>
          <t>유구읍</t>
        </is>
      </c>
    </row>
    <row r="9029">
      <c r="A9029" s="3" t="n">
        <v>2024</v>
      </c>
      <c r="B9029" s="4" t="n">
        <v>1000</v>
      </c>
      <c r="C9029" s="4" t="n">
        <v>836</v>
      </c>
      <c r="D9029" s="4" t="n">
        <v>252.89</v>
      </c>
      <c r="E9029" s="5" t="n">
        <v>4</v>
      </c>
      <c r="F9029" s="3" t="inlineStr">
        <is>
          <t>유구읍</t>
        </is>
      </c>
      <c r="G9029" s="3" t="inlineStr">
        <is>
          <t>문금리</t>
        </is>
      </c>
      <c r="H9029" s="3" t="inlineStr">
        <is>
          <t>계획관리지역</t>
        </is>
      </c>
      <c r="I9029" s="3" t="inlineStr">
        <is>
          <t>묘지</t>
        </is>
      </c>
      <c r="J9029" s="3" t="inlineStr">
        <is>
          <t>유구읍</t>
        </is>
      </c>
    </row>
    <row r="9030">
      <c r="A9030" s="3" t="n">
        <v>2023</v>
      </c>
      <c r="B9030" s="4" t="n">
        <v>10000</v>
      </c>
      <c r="C9030" s="4" t="n">
        <v>1345</v>
      </c>
      <c r="D9030" s="4" t="n">
        <v>406.8625</v>
      </c>
      <c r="E9030" s="5" t="n">
        <v>24.6</v>
      </c>
      <c r="F9030" s="3" t="inlineStr">
        <is>
          <t>전동면</t>
        </is>
      </c>
      <c r="G9030" s="3" t="inlineStr">
        <is>
          <t>송정리</t>
        </is>
      </c>
      <c r="H9030" s="3" t="inlineStr">
        <is>
          <t>농림지역</t>
        </is>
      </c>
      <c r="I9030" s="3" t="inlineStr">
        <is>
          <t>전</t>
        </is>
      </c>
      <c r="J9030" s="3" t="inlineStr">
        <is>
          <t>전동면</t>
        </is>
      </c>
    </row>
    <row r="9031">
      <c r="A9031" s="3" t="n">
        <v>2023</v>
      </c>
      <c r="B9031" s="4" t="n">
        <v>15330</v>
      </c>
      <c r="C9031" s="4" t="n">
        <v>1691</v>
      </c>
      <c r="D9031" s="4" t="n">
        <v>511.5275</v>
      </c>
      <c r="E9031" s="5" t="n">
        <v>30</v>
      </c>
      <c r="F9031" s="3" t="inlineStr">
        <is>
          <t>전의면</t>
        </is>
      </c>
      <c r="G9031" s="3" t="inlineStr">
        <is>
          <t>관정리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2023</v>
      </c>
      <c r="B9032" s="4" t="n">
        <v>30160</v>
      </c>
      <c r="C9032" s="4" t="n">
        <v>767</v>
      </c>
      <c r="D9032" s="4" t="n">
        <v>232.0175</v>
      </c>
      <c r="E9032" s="5" t="n">
        <v>130</v>
      </c>
      <c r="F9032" s="3" t="inlineStr">
        <is>
          <t>연동면</t>
        </is>
      </c>
      <c r="G9032" s="3" t="inlineStr">
        <is>
          <t>노송리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연동면</t>
        </is>
      </c>
    </row>
    <row r="9033">
      <c r="A9033" s="3" t="n">
        <v>2023</v>
      </c>
      <c r="B9033" s="4" t="n">
        <v>17200</v>
      </c>
      <c r="C9033" s="4" t="n">
        <v>264</v>
      </c>
      <c r="D9033" s="4" t="n">
        <v>79.86</v>
      </c>
      <c r="E9033" s="5" t="n">
        <v>215.4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제2종일반주거지역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2023</v>
      </c>
      <c r="B9034" s="4" t="n">
        <v>300</v>
      </c>
      <c r="C9034" s="4" t="n">
        <v>10</v>
      </c>
      <c r="D9034" s="4" t="n">
        <v>3.025</v>
      </c>
      <c r="E9034" s="5" t="n">
        <v>99.2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제2종일반주거지역</t>
        </is>
      </c>
      <c r="I9034" s="3" t="inlineStr">
        <is>
          <t>도로</t>
        </is>
      </c>
      <c r="J9034" s="3" t="inlineStr">
        <is>
          <t>부강면</t>
        </is>
      </c>
    </row>
    <row r="9035">
      <c r="A9035" s="3" t="n">
        <v>2023</v>
      </c>
      <c r="B9035" s="4" t="n">
        <v>4200</v>
      </c>
      <c r="C9035" s="4" t="n">
        <v>231</v>
      </c>
      <c r="D9035" s="4" t="n">
        <v>69.8775</v>
      </c>
      <c r="E9035" s="5" t="n">
        <v>60.1</v>
      </c>
      <c r="F9035" s="3" t="inlineStr">
        <is>
          <t>금남면</t>
        </is>
      </c>
      <c r="G9035" s="3" t="inlineStr">
        <is>
          <t>영곡리</t>
        </is>
      </c>
      <c r="H9035" s="3" t="inlineStr">
        <is>
          <t>보전관리지역</t>
        </is>
      </c>
      <c r="I9035" s="3" t="inlineStr">
        <is>
          <t>임야</t>
        </is>
      </c>
      <c r="J9035" s="3" t="inlineStr">
        <is>
          <t>금남면</t>
        </is>
      </c>
    </row>
    <row r="9036">
      <c r="A9036" s="3" t="n">
        <v>2023</v>
      </c>
      <c r="B9036" s="4" t="n">
        <v>20736</v>
      </c>
      <c r="C9036" s="4" t="n">
        <v>1431</v>
      </c>
      <c r="D9036" s="4" t="n">
        <v>432.8775</v>
      </c>
      <c r="E9036" s="5" t="n">
        <v>47.9</v>
      </c>
      <c r="F9036" s="3" t="inlineStr">
        <is>
          <t>장군면</t>
        </is>
      </c>
      <c r="G9036" s="3" t="inlineStr">
        <is>
          <t>송문리</t>
        </is>
      </c>
      <c r="H9036" s="3" t="inlineStr">
        <is>
          <t>계획관리지역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4207</v>
      </c>
      <c r="C9037" s="4" t="n">
        <v>3973</v>
      </c>
      <c r="D9037" s="4" t="n">
        <v>1201.8325</v>
      </c>
      <c r="E9037" s="5" t="n">
        <v>3.5</v>
      </c>
      <c r="F9037" s="3" t="inlineStr">
        <is>
          <t>전동면</t>
        </is>
      </c>
      <c r="G9037" s="3" t="inlineStr">
        <is>
          <t>보덕리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전동면</t>
        </is>
      </c>
    </row>
    <row r="9038">
      <c r="A9038" s="3" t="n">
        <v>2023</v>
      </c>
      <c r="B9038" s="4" t="n">
        <v>4183</v>
      </c>
      <c r="C9038" s="4" t="n">
        <v>3950</v>
      </c>
      <c r="D9038" s="4" t="n">
        <v>1194.875</v>
      </c>
      <c r="E9038" s="5" t="n">
        <v>3.5</v>
      </c>
      <c r="F9038" s="3" t="inlineStr">
        <is>
          <t>전동면</t>
        </is>
      </c>
      <c r="G9038" s="3" t="inlineStr">
        <is>
          <t>보덕리</t>
        </is>
      </c>
      <c r="H9038" s="3" t="inlineStr">
        <is>
          <t>농림지역</t>
        </is>
      </c>
      <c r="I9038" s="3" t="inlineStr">
        <is>
          <t>임야</t>
        </is>
      </c>
      <c r="J9038" s="3" t="inlineStr">
        <is>
          <t>전동면</t>
        </is>
      </c>
    </row>
    <row r="9039">
      <c r="A9039" s="3" t="n">
        <v>2023</v>
      </c>
      <c r="B9039" s="4" t="n">
        <v>16000</v>
      </c>
      <c r="C9039" s="4" t="n">
        <v>489</v>
      </c>
      <c r="D9039" s="4" t="n">
        <v>147.9225</v>
      </c>
      <c r="E9039" s="5" t="n">
        <v>108.2</v>
      </c>
      <c r="F9039" s="3" t="inlineStr">
        <is>
          <t>소정면</t>
        </is>
      </c>
      <c r="G9039" s="3" t="inlineStr">
        <is>
          <t>소정리</t>
        </is>
      </c>
      <c r="H9039" s="3" t="inlineStr">
        <is>
          <t>계획관리지역</t>
        </is>
      </c>
      <c r="I9039" s="3" t="inlineStr">
        <is>
          <t>답</t>
        </is>
      </c>
      <c r="J9039" s="3" t="inlineStr">
        <is>
          <t>소정면</t>
        </is>
      </c>
    </row>
    <row r="9040">
      <c r="A9040" s="3" t="n">
        <v>2023</v>
      </c>
      <c r="B9040" s="4" t="n">
        <v>21500</v>
      </c>
      <c r="C9040" s="4" t="n">
        <v>635</v>
      </c>
      <c r="D9040" s="4" t="n">
        <v>192.0875</v>
      </c>
      <c r="E9040" s="5" t="n">
        <v>111.9</v>
      </c>
      <c r="F9040" s="3" t="inlineStr">
        <is>
          <t>장군면</t>
        </is>
      </c>
      <c r="G9040" s="3" t="inlineStr">
        <is>
          <t>평기리</t>
        </is>
      </c>
      <c r="H9040" s="3" t="inlineStr">
        <is>
          <t>계획관리지역</t>
        </is>
      </c>
      <c r="I9040" s="3" t="inlineStr">
        <is>
          <t>전</t>
        </is>
      </c>
      <c r="J9040" s="3" t="inlineStr">
        <is>
          <t>장군면</t>
        </is>
      </c>
    </row>
    <row r="9041">
      <c r="A9041" s="3" t="n">
        <v>2023</v>
      </c>
      <c r="B9041" s="4" t="n">
        <v>95000</v>
      </c>
      <c r="C9041" s="4" t="n">
        <v>438.2</v>
      </c>
      <c r="D9041" s="4" t="n">
        <v>132.5555</v>
      </c>
      <c r="E9041" s="5" t="n">
        <v>716.7</v>
      </c>
      <c r="F9041" s="3" t="inlineStr">
        <is>
          <t>반곡동</t>
        </is>
      </c>
      <c r="G9041" s="3" t="inlineStr"/>
      <c r="H9041" s="3" t="inlineStr">
        <is>
          <t>용도미지정</t>
        </is>
      </c>
      <c r="I9041" s="3" t="inlineStr">
        <is>
          <t>대</t>
        </is>
      </c>
      <c r="J9041" s="3" t="inlineStr">
        <is>
          <t>반곡동</t>
        </is>
      </c>
    </row>
    <row r="9042">
      <c r="A9042" s="3" t="n">
        <v>2023</v>
      </c>
      <c r="B9042" s="4" t="n">
        <v>46000</v>
      </c>
      <c r="C9042" s="4" t="n">
        <v>2336</v>
      </c>
      <c r="D9042" s="4" t="n">
        <v>706.64</v>
      </c>
      <c r="E9042" s="5" t="n">
        <v>65.09999999999999</v>
      </c>
      <c r="F9042" s="3" t="inlineStr">
        <is>
          <t>전의면</t>
        </is>
      </c>
      <c r="G9042" s="3" t="inlineStr">
        <is>
          <t>관정리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2023</v>
      </c>
      <c r="B9043" s="4" t="n">
        <v>19600</v>
      </c>
      <c r="C9043" s="4" t="n">
        <v>2637</v>
      </c>
      <c r="D9043" s="4" t="n">
        <v>797.6925</v>
      </c>
      <c r="E9043" s="5" t="n">
        <v>24.6</v>
      </c>
      <c r="F9043" s="3" t="inlineStr">
        <is>
          <t>연서면</t>
        </is>
      </c>
      <c r="G9043" s="3" t="inlineStr">
        <is>
          <t>월하리</t>
        </is>
      </c>
      <c r="H9043" s="3" t="inlineStr">
        <is>
          <t>자연녹지지역</t>
        </is>
      </c>
      <c r="I9043" s="3" t="inlineStr">
        <is>
          <t>임야</t>
        </is>
      </c>
      <c r="J9043" s="3" t="inlineStr">
        <is>
          <t>연서면</t>
        </is>
      </c>
    </row>
    <row r="9044">
      <c r="A9044" s="3" t="n">
        <v>2023</v>
      </c>
      <c r="B9044" s="4" t="n">
        <v>7700</v>
      </c>
      <c r="C9044" s="4" t="n">
        <v>522</v>
      </c>
      <c r="D9044" s="4" t="n">
        <v>157.905</v>
      </c>
      <c r="E9044" s="5" t="n">
        <v>48.8</v>
      </c>
      <c r="F9044" s="3" t="inlineStr">
        <is>
          <t>부강면</t>
        </is>
      </c>
      <c r="G9044" s="3" t="inlineStr">
        <is>
          <t>산수리</t>
        </is>
      </c>
      <c r="H9044" s="3" t="inlineStr">
        <is>
          <t>계획관리지역</t>
        </is>
      </c>
      <c r="I9044" s="3" t="inlineStr">
        <is>
          <t>전</t>
        </is>
      </c>
      <c r="J9044" s="3" t="inlineStr">
        <is>
          <t>부강면</t>
        </is>
      </c>
    </row>
    <row r="9045">
      <c r="A9045" s="3" t="n">
        <v>2023</v>
      </c>
      <c r="B9045" s="4" t="n">
        <v>22000</v>
      </c>
      <c r="C9045" s="4" t="n">
        <v>899</v>
      </c>
      <c r="D9045" s="4" t="n">
        <v>271.9475</v>
      </c>
      <c r="E9045" s="5" t="n">
        <v>80.90000000000001</v>
      </c>
      <c r="F9045" s="3" t="inlineStr">
        <is>
          <t>금남면</t>
        </is>
      </c>
      <c r="G9045" s="3" t="inlineStr">
        <is>
          <t>성덕리</t>
        </is>
      </c>
      <c r="H9045" s="3" t="inlineStr">
        <is>
          <t>생산관리지역</t>
        </is>
      </c>
      <c r="I9045" s="3" t="inlineStr">
        <is>
          <t>전</t>
        </is>
      </c>
      <c r="J9045" s="3" t="inlineStr">
        <is>
          <t>금남면</t>
        </is>
      </c>
    </row>
    <row r="9046">
      <c r="A9046" s="3" t="n">
        <v>2023</v>
      </c>
      <c r="B9046" s="4" t="n">
        <v>11000</v>
      </c>
      <c r="C9046" s="4" t="n">
        <v>440</v>
      </c>
      <c r="D9046" s="4" t="n">
        <v>133.1</v>
      </c>
      <c r="E9046" s="5" t="n">
        <v>82.59999999999999</v>
      </c>
      <c r="F9046" s="3" t="inlineStr">
        <is>
          <t>금남면</t>
        </is>
      </c>
      <c r="G9046" s="3" t="inlineStr">
        <is>
          <t>성덕리</t>
        </is>
      </c>
      <c r="H9046" s="3" t="inlineStr">
        <is>
          <t>생산관리지역</t>
        </is>
      </c>
      <c r="I9046" s="3" t="inlineStr">
        <is>
          <t>답</t>
        </is>
      </c>
      <c r="J9046" s="3" t="inlineStr">
        <is>
          <t>금남면</t>
        </is>
      </c>
    </row>
    <row r="9047">
      <c r="A9047" s="3" t="n">
        <v>2023</v>
      </c>
      <c r="B9047" s="4" t="n">
        <v>40400</v>
      </c>
      <c r="C9047" s="4" t="n">
        <v>1322</v>
      </c>
      <c r="D9047" s="4" t="n">
        <v>399.905</v>
      </c>
      <c r="E9047" s="5" t="n">
        <v>101</v>
      </c>
      <c r="F9047" s="3" t="inlineStr">
        <is>
          <t>전의면</t>
        </is>
      </c>
      <c r="G9047" s="3" t="inlineStr">
        <is>
          <t>다방리</t>
        </is>
      </c>
      <c r="H9047" s="3" t="inlineStr">
        <is>
          <t>농림지역</t>
        </is>
      </c>
      <c r="I9047" s="3" t="inlineStr">
        <is>
          <t>임야</t>
        </is>
      </c>
      <c r="J9047" s="3" t="inlineStr">
        <is>
          <t>전의면</t>
        </is>
      </c>
    </row>
    <row r="9048">
      <c r="A9048" s="3" t="n">
        <v>2024</v>
      </c>
      <c r="B9048" s="4" t="n">
        <v>16680</v>
      </c>
      <c r="C9048" s="4" t="n">
        <v>1838</v>
      </c>
      <c r="D9048" s="4" t="n">
        <v>555.995</v>
      </c>
      <c r="E9048" s="5" t="n">
        <v>30</v>
      </c>
      <c r="F9048" s="3" t="inlineStr">
        <is>
          <t>부강면</t>
        </is>
      </c>
      <c r="G9048" s="3" t="inlineStr">
        <is>
          <t>노호리</t>
        </is>
      </c>
      <c r="H9048" s="3" t="inlineStr">
        <is>
          <t>계획관리지역</t>
        </is>
      </c>
      <c r="I9048" s="3" t="inlineStr">
        <is>
          <t>전</t>
        </is>
      </c>
      <c r="J9048" s="3" t="inlineStr">
        <is>
          <t>부강면</t>
        </is>
      </c>
    </row>
    <row r="9049">
      <c r="A9049" s="3" t="n">
        <v>2024</v>
      </c>
      <c r="B9049" s="4" t="n">
        <v>18000</v>
      </c>
      <c r="C9049" s="4" t="n">
        <v>1430</v>
      </c>
      <c r="D9049" s="4" t="n">
        <v>432.575</v>
      </c>
      <c r="E9049" s="5" t="n">
        <v>41.6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임야</t>
        </is>
      </c>
      <c r="J9049" s="3" t="inlineStr">
        <is>
          <t>소정면</t>
        </is>
      </c>
    </row>
    <row r="9050">
      <c r="A9050" s="3" t="n">
        <v>2024</v>
      </c>
      <c r="B9050" s="4" t="n">
        <v>27000</v>
      </c>
      <c r="C9050" s="4" t="n">
        <v>1821</v>
      </c>
      <c r="D9050" s="4" t="n">
        <v>550.8525</v>
      </c>
      <c r="E9050" s="5" t="n">
        <v>49</v>
      </c>
      <c r="F9050" s="3" t="inlineStr">
        <is>
          <t>소정면</t>
        </is>
      </c>
      <c r="G9050" s="3" t="inlineStr">
        <is>
          <t>대곡리</t>
        </is>
      </c>
      <c r="H9050" s="3" t="inlineStr">
        <is>
          <t>계획관리지역</t>
        </is>
      </c>
      <c r="I9050" s="3" t="inlineStr">
        <is>
          <t>전</t>
        </is>
      </c>
      <c r="J9050" s="3" t="inlineStr">
        <is>
          <t>소정면</t>
        </is>
      </c>
    </row>
    <row r="9051">
      <c r="A9051" s="3" t="n">
        <v>2024</v>
      </c>
      <c r="B9051" s="4" t="n">
        <v>18000</v>
      </c>
      <c r="C9051" s="4" t="n">
        <v>1488</v>
      </c>
      <c r="D9051" s="4" t="n">
        <v>450.12</v>
      </c>
      <c r="E9051" s="5" t="n">
        <v>40</v>
      </c>
      <c r="F9051" s="3" t="inlineStr">
        <is>
          <t>소정면</t>
        </is>
      </c>
      <c r="G9051" s="3" t="inlineStr">
        <is>
          <t>대곡리</t>
        </is>
      </c>
      <c r="H9051" s="3" t="inlineStr">
        <is>
          <t>계획관리지역</t>
        </is>
      </c>
      <c r="I9051" s="3" t="inlineStr">
        <is>
          <t>전</t>
        </is>
      </c>
      <c r="J9051" s="3" t="inlineStr">
        <is>
          <t>소정면</t>
        </is>
      </c>
    </row>
    <row r="9052">
      <c r="A9052" s="3" t="n">
        <v>2024</v>
      </c>
      <c r="B9052" s="4" t="n">
        <v>19200</v>
      </c>
      <c r="C9052" s="4" t="n">
        <v>1500</v>
      </c>
      <c r="D9052" s="4" t="n">
        <v>453.75</v>
      </c>
      <c r="E9052" s="5" t="n">
        <v>42.3</v>
      </c>
      <c r="F9052" s="3" t="inlineStr">
        <is>
          <t>전동면</t>
        </is>
      </c>
      <c r="G9052" s="3" t="inlineStr">
        <is>
          <t>송곡리</t>
        </is>
      </c>
      <c r="H9052" s="3" t="inlineStr">
        <is>
          <t>농림지역</t>
        </is>
      </c>
      <c r="I9052" s="3" t="inlineStr">
        <is>
          <t>답</t>
        </is>
      </c>
      <c r="J9052" s="3" t="inlineStr">
        <is>
          <t>전동면</t>
        </is>
      </c>
    </row>
    <row r="9053">
      <c r="A9053" s="3" t="n">
        <v>2024</v>
      </c>
      <c r="B9053" s="4" t="n">
        <v>12300</v>
      </c>
      <c r="C9053" s="4" t="n">
        <v>990</v>
      </c>
      <c r="D9053" s="4" t="n">
        <v>299.475</v>
      </c>
      <c r="E9053" s="5" t="n">
        <v>41.1</v>
      </c>
      <c r="F9053" s="3" t="inlineStr">
        <is>
          <t>전동면</t>
        </is>
      </c>
      <c r="G9053" s="3" t="inlineStr">
        <is>
          <t>송곡리</t>
        </is>
      </c>
      <c r="H9053" s="3" t="inlineStr">
        <is>
          <t>농림지역</t>
        </is>
      </c>
      <c r="I9053" s="3" t="inlineStr">
        <is>
          <t>답</t>
        </is>
      </c>
      <c r="J9053" s="3" t="inlineStr">
        <is>
          <t>전동면</t>
        </is>
      </c>
    </row>
    <row r="9054">
      <c r="A9054" s="3" t="n">
        <v>2024</v>
      </c>
      <c r="B9054" s="4" t="n">
        <v>5000</v>
      </c>
      <c r="C9054" s="4" t="n">
        <v>19</v>
      </c>
      <c r="D9054" s="4" t="n">
        <v>5.7475</v>
      </c>
      <c r="E9054" s="5" t="n">
        <v>869.9</v>
      </c>
      <c r="F9054" s="3" t="inlineStr">
        <is>
          <t>금남면</t>
        </is>
      </c>
      <c r="G9054" s="3" t="inlineStr">
        <is>
          <t>영치리</t>
        </is>
      </c>
      <c r="H9054" s="3" t="inlineStr">
        <is>
          <t>자연녹지지역</t>
        </is>
      </c>
      <c r="I9054" s="3" t="inlineStr">
        <is>
          <t>대</t>
        </is>
      </c>
      <c r="J9054" s="3" t="inlineStr">
        <is>
          <t>금남면</t>
        </is>
      </c>
    </row>
    <row r="9055">
      <c r="A9055" s="3" t="n">
        <v>2024</v>
      </c>
      <c r="B9055" s="4" t="n">
        <v>60000</v>
      </c>
      <c r="C9055" s="4" t="n">
        <v>1540</v>
      </c>
      <c r="D9055" s="4" t="n">
        <v>465.85</v>
      </c>
      <c r="E9055" s="5" t="n">
        <v>128.8</v>
      </c>
      <c r="F9055" s="3" t="inlineStr">
        <is>
          <t>금남면</t>
        </is>
      </c>
      <c r="G9055" s="3" t="inlineStr">
        <is>
          <t>원봉리</t>
        </is>
      </c>
      <c r="H9055" s="3" t="inlineStr">
        <is>
          <t>계획관리지역</t>
        </is>
      </c>
      <c r="I9055" s="3" t="inlineStr">
        <is>
          <t>전</t>
        </is>
      </c>
      <c r="J9055" s="3" t="inlineStr">
        <is>
          <t>금남면</t>
        </is>
      </c>
    </row>
    <row r="9056">
      <c r="A9056" s="3" t="n">
        <v>2024</v>
      </c>
      <c r="B9056" s="4" t="n">
        <v>9300</v>
      </c>
      <c r="C9056" s="4" t="n">
        <v>227</v>
      </c>
      <c r="D9056" s="4" t="n">
        <v>68.6675</v>
      </c>
      <c r="E9056" s="5" t="n">
        <v>135.4</v>
      </c>
      <c r="F9056" s="3" t="inlineStr">
        <is>
          <t>금남면</t>
        </is>
      </c>
      <c r="G9056" s="3" t="inlineStr">
        <is>
          <t>원봉리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금남면</t>
        </is>
      </c>
    </row>
    <row r="9057">
      <c r="A9057" s="3" t="n">
        <v>2024</v>
      </c>
      <c r="B9057" s="4" t="n">
        <v>230</v>
      </c>
      <c r="C9057" s="4" t="n">
        <v>15</v>
      </c>
      <c r="D9057" s="4" t="n">
        <v>4.5375</v>
      </c>
      <c r="E9057" s="5" t="n">
        <v>50.7</v>
      </c>
      <c r="F9057" s="3" t="inlineStr">
        <is>
          <t>금남면</t>
        </is>
      </c>
      <c r="G9057" s="3" t="inlineStr">
        <is>
          <t>원봉리</t>
        </is>
      </c>
      <c r="H9057" s="3" t="inlineStr">
        <is>
          <t>계획관리지역</t>
        </is>
      </c>
      <c r="I9057" s="3" t="inlineStr">
        <is>
          <t>도로</t>
        </is>
      </c>
      <c r="J9057" s="3" t="inlineStr">
        <is>
          <t>금남면</t>
        </is>
      </c>
    </row>
    <row r="9058">
      <c r="A9058" s="3" t="n">
        <v>2024</v>
      </c>
      <c r="B9058" s="4" t="n">
        <v>115</v>
      </c>
      <c r="C9058" s="4" t="n">
        <v>7</v>
      </c>
      <c r="D9058" s="4" t="n">
        <v>2.1175</v>
      </c>
      <c r="E9058" s="5" t="n">
        <v>54.3</v>
      </c>
      <c r="F9058" s="3" t="inlineStr">
        <is>
          <t>금남면</t>
        </is>
      </c>
      <c r="G9058" s="3" t="inlineStr">
        <is>
          <t>원봉리</t>
        </is>
      </c>
      <c r="H9058" s="3" t="inlineStr">
        <is>
          <t>계획관리지역</t>
        </is>
      </c>
      <c r="I9058" s="3" t="inlineStr">
        <is>
          <t>도로</t>
        </is>
      </c>
      <c r="J9058" s="3" t="inlineStr">
        <is>
          <t>금남면</t>
        </is>
      </c>
    </row>
    <row r="9059">
      <c r="A9059" s="3" t="n">
        <v>2024</v>
      </c>
      <c r="B9059" s="4" t="n">
        <v>60000</v>
      </c>
      <c r="C9059" s="4" t="n">
        <v>445.5</v>
      </c>
      <c r="D9059" s="4" t="n">
        <v>134.76375</v>
      </c>
      <c r="E9059" s="5" t="n">
        <v>445.2</v>
      </c>
      <c r="F9059" s="3" t="inlineStr">
        <is>
          <t>장군면</t>
        </is>
      </c>
      <c r="G9059" s="3" t="inlineStr">
        <is>
          <t>금암리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장군면</t>
        </is>
      </c>
    </row>
    <row r="9060">
      <c r="A9060" s="3" t="n">
        <v>2025</v>
      </c>
      <c r="B9060" s="4" t="n">
        <v>2500</v>
      </c>
      <c r="C9060" s="4" t="n">
        <v>1651</v>
      </c>
      <c r="D9060" s="4" t="n">
        <v>499.4275</v>
      </c>
      <c r="E9060" s="5" t="n">
        <v>5</v>
      </c>
      <c r="F9060" s="3" t="inlineStr">
        <is>
          <t>전동면</t>
        </is>
      </c>
      <c r="G9060" s="3" t="inlineStr">
        <is>
          <t>봉대리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2025</v>
      </c>
      <c r="B9061" s="4" t="n">
        <v>10500</v>
      </c>
      <c r="C9061" s="4" t="n">
        <v>2435</v>
      </c>
      <c r="D9061" s="4" t="n">
        <v>736.5875</v>
      </c>
      <c r="E9061" s="5" t="n">
        <v>14.3</v>
      </c>
      <c r="F9061" s="3" t="inlineStr">
        <is>
          <t>전의면</t>
        </is>
      </c>
      <c r="G9061" s="3" t="inlineStr">
        <is>
          <t>신정리</t>
        </is>
      </c>
      <c r="H9061" s="3" t="inlineStr">
        <is>
          <t>계획관리지역</t>
        </is>
      </c>
      <c r="I9061" s="3" t="inlineStr">
        <is>
          <t>임야</t>
        </is>
      </c>
      <c r="J9061" s="3" t="inlineStr">
        <is>
          <t>전의면</t>
        </is>
      </c>
    </row>
    <row r="9062">
      <c r="A9062" s="3" t="n">
        <v>2025</v>
      </c>
      <c r="B9062" s="4" t="n">
        <v>41200</v>
      </c>
      <c r="C9062" s="4" t="n">
        <v>3911</v>
      </c>
      <c r="D9062" s="4" t="n">
        <v>1183.0775</v>
      </c>
      <c r="E9062" s="5" t="n">
        <v>34.8</v>
      </c>
      <c r="F9062" s="3" t="inlineStr">
        <is>
          <t>연서면</t>
        </is>
      </c>
      <c r="G9062" s="3" t="inlineStr">
        <is>
          <t>기룡리</t>
        </is>
      </c>
      <c r="H9062" s="3" t="inlineStr">
        <is>
          <t>생산관리지역</t>
        </is>
      </c>
      <c r="I9062" s="3" t="inlineStr">
        <is>
          <t>답</t>
        </is>
      </c>
      <c r="J9062" s="3" t="inlineStr">
        <is>
          <t>연서면</t>
        </is>
      </c>
    </row>
    <row r="9063">
      <c r="A9063" s="3" t="n">
        <v>2025</v>
      </c>
      <c r="B9063" s="4" t="n">
        <v>1800</v>
      </c>
      <c r="C9063" s="4" t="n">
        <v>169</v>
      </c>
      <c r="D9063" s="4" t="n">
        <v>51.1225</v>
      </c>
      <c r="E9063" s="5" t="n">
        <v>35.2</v>
      </c>
      <c r="F9063" s="3" t="inlineStr">
        <is>
          <t>연서면</t>
        </is>
      </c>
      <c r="G9063" s="3" t="inlineStr">
        <is>
          <t>기룡리</t>
        </is>
      </c>
      <c r="H9063" s="3" t="inlineStr">
        <is>
          <t>생산관리지역</t>
        </is>
      </c>
      <c r="I9063" s="3" t="inlineStr">
        <is>
          <t>답</t>
        </is>
      </c>
      <c r="J9063" s="3" t="inlineStr">
        <is>
          <t>연서면</t>
        </is>
      </c>
    </row>
    <row r="9064">
      <c r="A9064" s="3" t="n">
        <v>2025</v>
      </c>
      <c r="B9064" s="4" t="n">
        <v>8582</v>
      </c>
      <c r="C9064" s="4" t="n">
        <v>947</v>
      </c>
      <c r="D9064" s="4" t="n">
        <v>286.4675</v>
      </c>
      <c r="E9064" s="5" t="n">
        <v>30</v>
      </c>
      <c r="F9064" s="3" t="inlineStr">
        <is>
          <t>전의면</t>
        </is>
      </c>
      <c r="G9064" s="3" t="inlineStr">
        <is>
          <t>유천리</t>
        </is>
      </c>
      <c r="H9064" s="3" t="inlineStr">
        <is>
          <t>계획관리지역</t>
        </is>
      </c>
      <c r="I9064" s="3" t="inlineStr">
        <is>
          <t>답</t>
        </is>
      </c>
      <c r="J9064" s="3" t="inlineStr">
        <is>
          <t>전의면</t>
        </is>
      </c>
    </row>
    <row r="9065">
      <c r="A9065" s="3" t="n">
        <v>2025</v>
      </c>
      <c r="B9065" s="4" t="n">
        <v>20318</v>
      </c>
      <c r="C9065" s="4" t="n">
        <v>2242</v>
      </c>
      <c r="D9065" s="4" t="n">
        <v>678.2049999999999</v>
      </c>
      <c r="E9065" s="5" t="n">
        <v>30</v>
      </c>
      <c r="F9065" s="3" t="inlineStr">
        <is>
          <t>전의면</t>
        </is>
      </c>
      <c r="G9065" s="3" t="inlineStr">
        <is>
          <t>유천리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전의면</t>
        </is>
      </c>
    </row>
    <row r="9066">
      <c r="A9066" s="3" t="n">
        <v>2025</v>
      </c>
      <c r="B9066" s="4" t="n">
        <v>7122</v>
      </c>
      <c r="C9066" s="4" t="n">
        <v>239</v>
      </c>
      <c r="D9066" s="4" t="n">
        <v>72.2975</v>
      </c>
      <c r="E9066" s="5" t="n">
        <v>98.5</v>
      </c>
      <c r="F9066" s="3" t="inlineStr">
        <is>
          <t>연동면</t>
        </is>
      </c>
      <c r="G9066" s="3" t="inlineStr">
        <is>
          <t>송용리</t>
        </is>
      </c>
      <c r="H9066" s="3" t="inlineStr">
        <is>
          <t>계획관리지역</t>
        </is>
      </c>
      <c r="I9066" s="3" t="inlineStr">
        <is>
          <t>전</t>
        </is>
      </c>
      <c r="J9066" s="3" t="inlineStr">
        <is>
          <t>연동면</t>
        </is>
      </c>
    </row>
    <row r="9067">
      <c r="A9067" s="3" t="n">
        <v>2025</v>
      </c>
      <c r="B9067" s="4" t="n">
        <v>60</v>
      </c>
      <c r="C9067" s="4" t="n">
        <v>2</v>
      </c>
      <c r="D9067" s="4" t="n">
        <v>0.605</v>
      </c>
      <c r="E9067" s="5" t="n">
        <v>99.2</v>
      </c>
      <c r="F9067" s="3" t="inlineStr">
        <is>
          <t>연동면</t>
        </is>
      </c>
      <c r="G9067" s="3" t="inlineStr">
        <is>
          <t>송용리</t>
        </is>
      </c>
      <c r="H9067" s="3" t="inlineStr">
        <is>
          <t>계획관리지역</t>
        </is>
      </c>
      <c r="I9067" s="3" t="inlineStr">
        <is>
          <t>전</t>
        </is>
      </c>
      <c r="J9067" s="3" t="inlineStr">
        <is>
          <t>연동면</t>
        </is>
      </c>
    </row>
    <row r="9068">
      <c r="A9068" s="3" t="n">
        <v>2025</v>
      </c>
      <c r="B9068" s="4" t="n">
        <v>21000</v>
      </c>
      <c r="C9068" s="4" t="n">
        <v>1437</v>
      </c>
      <c r="D9068" s="4" t="n">
        <v>434.6925</v>
      </c>
      <c r="E9068" s="5" t="n">
        <v>48.3</v>
      </c>
      <c r="F9068" s="3" t="inlineStr">
        <is>
          <t>부강면</t>
        </is>
      </c>
      <c r="G9068" s="3" t="inlineStr">
        <is>
          <t>행산리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부강면</t>
        </is>
      </c>
    </row>
    <row r="9069">
      <c r="A9069" s="3" t="n">
        <v>2025</v>
      </c>
      <c r="B9069" s="4" t="n">
        <v>8855</v>
      </c>
      <c r="C9069" s="4" t="n">
        <v>298</v>
      </c>
      <c r="D9069" s="4" t="n">
        <v>90.145</v>
      </c>
      <c r="E9069" s="5" t="n">
        <v>98.2</v>
      </c>
      <c r="F9069" s="3" t="inlineStr">
        <is>
          <t>장군면</t>
        </is>
      </c>
      <c r="G9069" s="3" t="inlineStr">
        <is>
          <t>용암리</t>
        </is>
      </c>
      <c r="H9069" s="3" t="inlineStr">
        <is>
          <t>보전관리지역</t>
        </is>
      </c>
      <c r="I9069" s="3" t="inlineStr">
        <is>
          <t>임야</t>
        </is>
      </c>
      <c r="J9069" s="3" t="inlineStr">
        <is>
          <t>장군면</t>
        </is>
      </c>
    </row>
    <row r="9070">
      <c r="A9070" s="3" t="n">
        <v>2025</v>
      </c>
      <c r="B9070" s="4" t="n">
        <v>80000</v>
      </c>
      <c r="C9070" s="4" t="n">
        <v>8904</v>
      </c>
      <c r="D9070" s="4" t="n">
        <v>2693.46</v>
      </c>
      <c r="E9070" s="5" t="n">
        <v>29.7</v>
      </c>
      <c r="F9070" s="3" t="inlineStr">
        <is>
          <t>장군면</t>
        </is>
      </c>
      <c r="G9070" s="3" t="inlineStr">
        <is>
          <t>용암리</t>
        </is>
      </c>
      <c r="H9070" s="3" t="inlineStr">
        <is>
          <t>보전관리지역</t>
        </is>
      </c>
      <c r="I9070" s="3" t="inlineStr">
        <is>
          <t>임야</t>
        </is>
      </c>
      <c r="J9070" s="3" t="inlineStr">
        <is>
          <t>장군면</t>
        </is>
      </c>
    </row>
    <row r="9071">
      <c r="A9071" s="3" t="n">
        <v>2025</v>
      </c>
      <c r="B9071" s="4" t="n">
        <v>115263</v>
      </c>
      <c r="C9071" s="4" t="n">
        <v>3879</v>
      </c>
      <c r="D9071" s="4" t="n">
        <v>1173.3975</v>
      </c>
      <c r="E9071" s="5" t="n">
        <v>98.2</v>
      </c>
      <c r="F9071" s="3" t="inlineStr">
        <is>
          <t>장군면</t>
        </is>
      </c>
      <c r="G9071" s="3" t="inlineStr">
        <is>
          <t>용암리</t>
        </is>
      </c>
      <c r="H9071" s="3" t="inlineStr">
        <is>
          <t>보전관리지역</t>
        </is>
      </c>
      <c r="I9071" s="3" t="inlineStr">
        <is>
          <t>임야</t>
        </is>
      </c>
      <c r="J9071" s="3" t="inlineStr">
        <is>
          <t>장군면</t>
        </is>
      </c>
    </row>
    <row r="9072">
      <c r="A9072" s="3" t="n">
        <v>2025</v>
      </c>
      <c r="B9072" s="4" t="n">
        <v>22108</v>
      </c>
      <c r="C9072" s="4" t="n">
        <v>744</v>
      </c>
      <c r="D9072" s="4" t="n">
        <v>225.06</v>
      </c>
      <c r="E9072" s="5" t="n">
        <v>98.2</v>
      </c>
      <c r="F9072" s="3" t="inlineStr">
        <is>
          <t>장군면</t>
        </is>
      </c>
      <c r="G9072" s="3" t="inlineStr">
        <is>
          <t>용암리</t>
        </is>
      </c>
      <c r="H9072" s="3" t="inlineStr">
        <is>
          <t>보전관리지역</t>
        </is>
      </c>
      <c r="I9072" s="3" t="inlineStr">
        <is>
          <t>임야</t>
        </is>
      </c>
      <c r="J9072" s="3" t="inlineStr">
        <is>
          <t>장군면</t>
        </is>
      </c>
    </row>
    <row r="9073">
      <c r="A9073" s="3" t="n">
        <v>2025</v>
      </c>
      <c r="B9073" s="4" t="n">
        <v>2051</v>
      </c>
      <c r="C9073" s="4" t="n">
        <v>69</v>
      </c>
      <c r="D9073" s="4" t="n">
        <v>20.8725</v>
      </c>
      <c r="E9073" s="5" t="n">
        <v>98.3</v>
      </c>
      <c r="F9073" s="3" t="inlineStr">
        <is>
          <t>장군면</t>
        </is>
      </c>
      <c r="G9073" s="3" t="inlineStr">
        <is>
          <t>용암리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장군면</t>
        </is>
      </c>
    </row>
    <row r="9074">
      <c r="A9074" s="3" t="n">
        <v>2025</v>
      </c>
      <c r="B9074" s="4" t="n">
        <v>1723</v>
      </c>
      <c r="C9074" s="4" t="n">
        <v>58</v>
      </c>
      <c r="D9074" s="4" t="n">
        <v>17.545</v>
      </c>
      <c r="E9074" s="5" t="n">
        <v>98.2</v>
      </c>
      <c r="F9074" s="3" t="inlineStr">
        <is>
          <t>장군면</t>
        </is>
      </c>
      <c r="G9074" s="3" t="inlineStr">
        <is>
          <t>용암리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장군면</t>
        </is>
      </c>
    </row>
    <row r="9075">
      <c r="A9075" s="3" t="n">
        <v>2025</v>
      </c>
      <c r="B9075" s="4" t="n">
        <v>13237</v>
      </c>
      <c r="C9075" s="4" t="n">
        <v>797</v>
      </c>
      <c r="D9075" s="4" t="n">
        <v>241.0925</v>
      </c>
      <c r="E9075" s="5" t="n">
        <v>54.9</v>
      </c>
      <c r="F9075" s="3" t="inlineStr">
        <is>
          <t>전의면</t>
        </is>
      </c>
      <c r="G9075" s="3" t="inlineStr">
        <is>
          <t>영당리</t>
        </is>
      </c>
      <c r="H9075" s="3" t="inlineStr">
        <is>
          <t>계획관리지역</t>
        </is>
      </c>
      <c r="I9075" s="3" t="inlineStr">
        <is>
          <t>전</t>
        </is>
      </c>
      <c r="J9075" s="3" t="inlineStr">
        <is>
          <t>전의면</t>
        </is>
      </c>
    </row>
    <row r="9076">
      <c r="A9076" s="3" t="n">
        <v>2025</v>
      </c>
      <c r="B9076" s="4" t="n">
        <v>5763</v>
      </c>
      <c r="C9076" s="4" t="n">
        <v>347</v>
      </c>
      <c r="D9076" s="4" t="n">
        <v>104.9675</v>
      </c>
      <c r="E9076" s="5" t="n">
        <v>54.9</v>
      </c>
      <c r="F9076" s="3" t="inlineStr">
        <is>
          <t>전의면</t>
        </is>
      </c>
      <c r="G9076" s="3" t="inlineStr">
        <is>
          <t>영당리</t>
        </is>
      </c>
      <c r="H9076" s="3" t="inlineStr">
        <is>
          <t>계획관리지역</t>
        </is>
      </c>
      <c r="I9076" s="3" t="inlineStr">
        <is>
          <t>전</t>
        </is>
      </c>
      <c r="J9076" s="3" t="inlineStr">
        <is>
          <t>전의면</t>
        </is>
      </c>
    </row>
    <row r="9077">
      <c r="A9077" s="3" t="n">
        <v>2025</v>
      </c>
      <c r="B9077" s="4" t="n">
        <v>19950</v>
      </c>
      <c r="C9077" s="4" t="n">
        <v>2638</v>
      </c>
      <c r="D9077" s="4" t="n">
        <v>797.995</v>
      </c>
      <c r="E9077" s="5" t="n">
        <v>25</v>
      </c>
      <c r="F9077" s="3" t="inlineStr">
        <is>
          <t>전의면</t>
        </is>
      </c>
      <c r="G9077" s="3" t="inlineStr">
        <is>
          <t>유천리</t>
        </is>
      </c>
      <c r="H9077" s="3" t="inlineStr">
        <is>
          <t>계획관리지역</t>
        </is>
      </c>
      <c r="I9077" s="3" t="inlineStr">
        <is>
          <t>전</t>
        </is>
      </c>
      <c r="J9077" s="3" t="inlineStr">
        <is>
          <t>전의면</t>
        </is>
      </c>
    </row>
    <row r="9078">
      <c r="A9078" s="3" t="n">
        <v>2025</v>
      </c>
      <c r="B9078" s="4" t="n">
        <v>44756</v>
      </c>
      <c r="C9078" s="4" t="n">
        <v>1018</v>
      </c>
      <c r="D9078" s="4" t="n">
        <v>307.945</v>
      </c>
      <c r="E9078" s="5" t="n">
        <v>145.3</v>
      </c>
      <c r="F9078" s="3" t="inlineStr">
        <is>
          <t>전동면</t>
        </is>
      </c>
      <c r="G9078" s="3" t="inlineStr">
        <is>
          <t>심중리</t>
        </is>
      </c>
      <c r="H9078" s="3" t="inlineStr">
        <is>
          <t>준공업지역</t>
        </is>
      </c>
      <c r="I9078" s="3" t="inlineStr">
        <is>
          <t>공장용지</t>
        </is>
      </c>
      <c r="J9078" s="3" t="inlineStr">
        <is>
          <t>전동면</t>
        </is>
      </c>
    </row>
    <row r="9079">
      <c r="A9079" s="3" t="n">
        <v>2025</v>
      </c>
      <c r="B9079" s="4" t="n">
        <v>65000</v>
      </c>
      <c r="C9079" s="4" t="n">
        <v>287</v>
      </c>
      <c r="D9079" s="4" t="n">
        <v>86.8175</v>
      </c>
      <c r="E9079" s="5" t="n">
        <v>748.7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2025</v>
      </c>
      <c r="B9080" s="4" t="n">
        <v>26608</v>
      </c>
      <c r="C9080" s="4" t="n">
        <v>1114</v>
      </c>
      <c r="D9080" s="4" t="n">
        <v>336.985</v>
      </c>
      <c r="E9080" s="5" t="n">
        <v>79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보전관리지역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2025</v>
      </c>
      <c r="B9081" s="4" t="n">
        <v>26608</v>
      </c>
      <c r="C9081" s="4" t="n">
        <v>1114</v>
      </c>
      <c r="D9081" s="4" t="n">
        <v>336.985</v>
      </c>
      <c r="E9081" s="5" t="n">
        <v>79</v>
      </c>
      <c r="F9081" s="3" t="inlineStr">
        <is>
          <t>장군면</t>
        </is>
      </c>
      <c r="G9081" s="3" t="inlineStr">
        <is>
          <t>금암리</t>
        </is>
      </c>
      <c r="H9081" s="3" t="inlineStr">
        <is>
          <t>보전관리지역</t>
        </is>
      </c>
      <c r="I9081" s="3" t="inlineStr">
        <is>
          <t>임야</t>
        </is>
      </c>
      <c r="J9081" s="3" t="inlineStr">
        <is>
          <t>장군면</t>
        </is>
      </c>
    </row>
    <row r="9082">
      <c r="A9082" s="3" t="n">
        <v>2025</v>
      </c>
      <c r="B9082" s="4" t="n">
        <v>8776</v>
      </c>
      <c r="C9082" s="4" t="n">
        <v>1778</v>
      </c>
      <c r="D9082" s="4" t="n">
        <v>537.845</v>
      </c>
      <c r="E9082" s="5" t="n">
        <v>16.3</v>
      </c>
      <c r="F9082" s="3" t="inlineStr">
        <is>
          <t>전의면</t>
        </is>
      </c>
      <c r="G9082" s="3" t="inlineStr">
        <is>
          <t>달전리</t>
        </is>
      </c>
      <c r="H9082" s="3" t="inlineStr">
        <is>
          <t>생산관리지역</t>
        </is>
      </c>
      <c r="I9082" s="3" t="inlineStr">
        <is>
          <t>도로</t>
        </is>
      </c>
      <c r="J9082" s="3" t="inlineStr">
        <is>
          <t>전의면</t>
        </is>
      </c>
    </row>
    <row r="9083">
      <c r="A9083" s="3" t="n">
        <v>2025</v>
      </c>
      <c r="B9083" s="4" t="n">
        <v>65500</v>
      </c>
      <c r="C9083" s="4" t="n">
        <v>1974</v>
      </c>
      <c r="D9083" s="4" t="n">
        <v>597.135</v>
      </c>
      <c r="E9083" s="5" t="n">
        <v>109.7</v>
      </c>
      <c r="F9083" s="3" t="inlineStr">
        <is>
          <t>연기면</t>
        </is>
      </c>
      <c r="G9083" s="3" t="inlineStr">
        <is>
          <t>수산리</t>
        </is>
      </c>
      <c r="H9083" s="3" t="inlineStr">
        <is>
          <t>보전관리지역</t>
        </is>
      </c>
      <c r="I9083" s="3" t="inlineStr">
        <is>
          <t>전</t>
        </is>
      </c>
      <c r="J9083" s="3" t="inlineStr">
        <is>
          <t>연기면</t>
        </is>
      </c>
    </row>
    <row r="9084">
      <c r="A9084" s="3" t="n">
        <v>2025</v>
      </c>
      <c r="B9084" s="4" t="n">
        <v>40500</v>
      </c>
      <c r="C9084" s="4" t="n">
        <v>1220</v>
      </c>
      <c r="D9084" s="4" t="n">
        <v>369.05</v>
      </c>
      <c r="E9084" s="5" t="n">
        <v>109.7</v>
      </c>
      <c r="F9084" s="3" t="inlineStr">
        <is>
          <t>연기면</t>
        </is>
      </c>
      <c r="G9084" s="3" t="inlineStr">
        <is>
          <t>수산리</t>
        </is>
      </c>
      <c r="H9084" s="3" t="inlineStr">
        <is>
          <t>보전관리지역</t>
        </is>
      </c>
      <c r="I9084" s="3" t="inlineStr">
        <is>
          <t>전</t>
        </is>
      </c>
      <c r="J9084" s="3" t="inlineStr">
        <is>
          <t>연기면</t>
        </is>
      </c>
    </row>
    <row r="9085">
      <c r="A9085" s="3" t="n">
        <v>2025</v>
      </c>
      <c r="B9085" s="4" t="n">
        <v>7000</v>
      </c>
      <c r="C9085" s="4" t="n">
        <v>3306</v>
      </c>
      <c r="D9085" s="4" t="n">
        <v>1000.065</v>
      </c>
      <c r="E9085" s="5" t="n">
        <v>7</v>
      </c>
      <c r="F9085" s="3" t="inlineStr">
        <is>
          <t>전동면</t>
        </is>
      </c>
      <c r="G9085" s="3" t="inlineStr">
        <is>
          <t>송정리</t>
        </is>
      </c>
      <c r="H9085" s="3" t="inlineStr">
        <is>
          <t>보전관리지역</t>
        </is>
      </c>
      <c r="I9085" s="3" t="inlineStr">
        <is>
          <t>임야</t>
        </is>
      </c>
      <c r="J9085" s="3" t="inlineStr">
        <is>
          <t>전동면</t>
        </is>
      </c>
    </row>
    <row r="9086">
      <c r="A9086" s="3" t="n">
        <v>2025</v>
      </c>
      <c r="B9086" s="4" t="n">
        <v>65000</v>
      </c>
      <c r="C9086" s="4" t="n">
        <v>960</v>
      </c>
      <c r="D9086" s="4" t="n">
        <v>290.4</v>
      </c>
      <c r="E9086" s="5" t="n">
        <v>223.8</v>
      </c>
      <c r="F9086" s="3" t="inlineStr">
        <is>
          <t>연서면</t>
        </is>
      </c>
      <c r="G9086" s="3" t="inlineStr">
        <is>
          <t>와촌리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연서면</t>
        </is>
      </c>
    </row>
    <row r="9087">
      <c r="A9087" s="3" t="n">
        <v>2025</v>
      </c>
      <c r="B9087" s="4" t="n">
        <v>14000</v>
      </c>
      <c r="C9087" s="4" t="n">
        <v>1034</v>
      </c>
      <c r="D9087" s="4" t="n">
        <v>312.785</v>
      </c>
      <c r="E9087" s="5" t="n">
        <v>44.8</v>
      </c>
      <c r="F9087" s="3" t="inlineStr">
        <is>
          <t>전동면</t>
        </is>
      </c>
      <c r="G9087" s="3" t="inlineStr">
        <is>
          <t>송곡리</t>
        </is>
      </c>
      <c r="H9087" s="3" t="inlineStr">
        <is>
          <t>농림지역</t>
        </is>
      </c>
      <c r="I9087" s="3" t="inlineStr">
        <is>
          <t>답</t>
        </is>
      </c>
      <c r="J9087" s="3" t="inlineStr">
        <is>
          <t>전동면</t>
        </is>
      </c>
    </row>
    <row r="9088">
      <c r="A9088" s="3" t="n">
        <v>2026</v>
      </c>
      <c r="B9088" s="4" t="n">
        <v>60000</v>
      </c>
      <c r="C9088" s="4" t="n">
        <v>596</v>
      </c>
      <c r="D9088" s="4" t="n">
        <v>180.29</v>
      </c>
      <c r="E9088" s="5" t="n">
        <v>332.8</v>
      </c>
      <c r="F9088" s="3" t="inlineStr">
        <is>
          <t>연서면</t>
        </is>
      </c>
      <c r="G9088" s="3" t="inlineStr">
        <is>
          <t>월하리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2026</v>
      </c>
      <c r="B9089" s="4" t="n">
        <v>3348</v>
      </c>
      <c r="C9089" s="4" t="n">
        <v>419</v>
      </c>
      <c r="D9089" s="4" t="n">
        <v>126.7475</v>
      </c>
      <c r="E9089" s="5" t="n">
        <v>26.4</v>
      </c>
      <c r="F9089" s="3" t="inlineStr">
        <is>
          <t>전동면</t>
        </is>
      </c>
      <c r="G9089" s="3" t="inlineStr">
        <is>
          <t>봉대리</t>
        </is>
      </c>
      <c r="H9089" s="3" t="inlineStr">
        <is>
          <t>생산관리지역</t>
        </is>
      </c>
      <c r="I9089" s="3" t="inlineStr">
        <is>
          <t>과수원</t>
        </is>
      </c>
      <c r="J9089" s="3" t="inlineStr">
        <is>
          <t>전동면</t>
        </is>
      </c>
    </row>
    <row r="9090">
      <c r="A9090" s="3" t="n">
        <v>2026</v>
      </c>
      <c r="B9090" s="4" t="n">
        <v>7591</v>
      </c>
      <c r="C9090" s="4" t="n">
        <v>950</v>
      </c>
      <c r="D9090" s="4" t="n">
        <v>287.375</v>
      </c>
      <c r="E9090" s="5" t="n">
        <v>26.4</v>
      </c>
      <c r="F9090" s="3" t="inlineStr">
        <is>
          <t>전동면</t>
        </is>
      </c>
      <c r="G9090" s="3" t="inlineStr">
        <is>
          <t>봉대리</t>
        </is>
      </c>
      <c r="H9090" s="3" t="inlineStr">
        <is>
          <t>생산관리지역</t>
        </is>
      </c>
      <c r="I9090" s="3" t="inlineStr">
        <is>
          <t>과수원</t>
        </is>
      </c>
      <c r="J9090" s="3" t="inlineStr">
        <is>
          <t>전동면</t>
        </is>
      </c>
    </row>
    <row r="9091">
      <c r="A9091" s="3" t="n">
        <v>2026</v>
      </c>
      <c r="B9091" s="4" t="n">
        <v>400</v>
      </c>
      <c r="C9091" s="4" t="n">
        <v>50</v>
      </c>
      <c r="D9091" s="4" t="n">
        <v>15.125</v>
      </c>
      <c r="E9091" s="5" t="n">
        <v>26.4</v>
      </c>
      <c r="F9091" s="3" t="inlineStr">
        <is>
          <t>전동면</t>
        </is>
      </c>
      <c r="G9091" s="3" t="inlineStr">
        <is>
          <t>봉대리</t>
        </is>
      </c>
      <c r="H9091" s="3" t="inlineStr">
        <is>
          <t>생산관리지역</t>
        </is>
      </c>
      <c r="I9091" s="3" t="inlineStr">
        <is>
          <t>과수원</t>
        </is>
      </c>
      <c r="J9091" s="3" t="inlineStr">
        <is>
          <t>전동면</t>
        </is>
      </c>
    </row>
    <row r="9092">
      <c r="A9092" s="3" t="n">
        <v>2026</v>
      </c>
      <c r="B9092" s="4" t="n">
        <v>232</v>
      </c>
      <c r="C9092" s="4" t="n">
        <v>29</v>
      </c>
      <c r="D9092" s="4" t="n">
        <v>8.772499999999999</v>
      </c>
      <c r="E9092" s="5" t="n">
        <v>26.4</v>
      </c>
      <c r="F9092" s="3" t="inlineStr">
        <is>
          <t>전동면</t>
        </is>
      </c>
      <c r="G9092" s="3" t="inlineStr">
        <is>
          <t>봉대리</t>
        </is>
      </c>
      <c r="H9092" s="3" t="inlineStr">
        <is>
          <t>생산관리지역</t>
        </is>
      </c>
      <c r="I9092" s="3" t="inlineStr">
        <is>
          <t>과수원</t>
        </is>
      </c>
      <c r="J9092" s="3" t="inlineStr">
        <is>
          <t>전동면</t>
        </is>
      </c>
    </row>
    <row r="9093">
      <c r="A9093" s="3" t="n">
        <v>2026</v>
      </c>
      <c r="B9093" s="4" t="n">
        <v>39628</v>
      </c>
      <c r="C9093" s="4" t="n">
        <v>604</v>
      </c>
      <c r="D9093" s="4" t="n">
        <v>182.71</v>
      </c>
      <c r="E9093" s="5" t="n">
        <v>216.9</v>
      </c>
      <c r="F9093" s="3" t="inlineStr">
        <is>
          <t>금남면</t>
        </is>
      </c>
      <c r="G9093" s="3" t="inlineStr">
        <is>
          <t>성덕리</t>
        </is>
      </c>
      <c r="H9093" s="3" t="inlineStr">
        <is>
          <t>보전관리지역</t>
        </is>
      </c>
      <c r="I9093" s="3" t="inlineStr">
        <is>
          <t>임야</t>
        </is>
      </c>
      <c r="J9093" s="3" t="inlineStr">
        <is>
          <t>금남면</t>
        </is>
      </c>
    </row>
    <row r="9094">
      <c r="A9094" s="3" t="n">
        <v>2026</v>
      </c>
      <c r="B9094" s="4" t="n">
        <v>168</v>
      </c>
      <c r="C9094" s="4" t="n">
        <v>21</v>
      </c>
      <c r="D9094" s="4" t="n">
        <v>6.3525</v>
      </c>
      <c r="E9094" s="5" t="n">
        <v>26.4</v>
      </c>
      <c r="F9094" s="3" t="inlineStr">
        <is>
          <t>전동면</t>
        </is>
      </c>
      <c r="G9094" s="3" t="inlineStr">
        <is>
          <t>봉대리</t>
        </is>
      </c>
      <c r="H9094" s="3" t="inlineStr">
        <is>
          <t>생산관리지역</t>
        </is>
      </c>
      <c r="I9094" s="3" t="inlineStr">
        <is>
          <t>과수원</t>
        </is>
      </c>
      <c r="J9094" s="3" t="inlineStr">
        <is>
          <t>전동면</t>
        </is>
      </c>
    </row>
    <row r="9095">
      <c r="A9095" s="3" t="n">
        <v>2026</v>
      </c>
      <c r="B9095" s="4" t="n">
        <v>4475</v>
      </c>
      <c r="C9095" s="4" t="n">
        <v>560</v>
      </c>
      <c r="D9095" s="4" t="n">
        <v>169.4</v>
      </c>
      <c r="E9095" s="5" t="n">
        <v>26.4</v>
      </c>
      <c r="F9095" s="3" t="inlineStr">
        <is>
          <t>전동면</t>
        </is>
      </c>
      <c r="G9095" s="3" t="inlineStr">
        <is>
          <t>봉대리</t>
        </is>
      </c>
      <c r="H9095" s="3" t="inlineStr">
        <is>
          <t>생산관리지역</t>
        </is>
      </c>
      <c r="I9095" s="3" t="inlineStr">
        <is>
          <t>과수원</t>
        </is>
      </c>
      <c r="J9095" s="3" t="inlineStr">
        <is>
          <t>전동면</t>
        </is>
      </c>
    </row>
    <row r="9096">
      <c r="A9096" s="3" t="n">
        <v>2026</v>
      </c>
      <c r="B9096" s="4" t="n">
        <v>80</v>
      </c>
      <c r="C9096" s="4" t="n">
        <v>10</v>
      </c>
      <c r="D9096" s="4" t="n">
        <v>3.025</v>
      </c>
      <c r="E9096" s="5" t="n">
        <v>26.4</v>
      </c>
      <c r="F9096" s="3" t="inlineStr">
        <is>
          <t>전동면</t>
        </is>
      </c>
      <c r="G9096" s="3" t="inlineStr">
        <is>
          <t>봉대리</t>
        </is>
      </c>
      <c r="H9096" s="3" t="inlineStr">
        <is>
          <t>생산관리지역</t>
        </is>
      </c>
      <c r="I9096" s="3" t="inlineStr">
        <is>
          <t>과수원</t>
        </is>
      </c>
      <c r="J9096" s="3" t="inlineStr">
        <is>
          <t>전동면</t>
        </is>
      </c>
    </row>
    <row r="9097">
      <c r="A9097" s="3" t="n">
        <v>2026</v>
      </c>
      <c r="B9097" s="4" t="n">
        <v>3875</v>
      </c>
      <c r="C9097" s="4" t="n">
        <v>485</v>
      </c>
      <c r="D9097" s="4" t="n">
        <v>146.7125</v>
      </c>
      <c r="E9097" s="5" t="n">
        <v>26.4</v>
      </c>
      <c r="F9097" s="3" t="inlineStr">
        <is>
          <t>전동면</t>
        </is>
      </c>
      <c r="G9097" s="3" t="inlineStr">
        <is>
          <t>봉대리</t>
        </is>
      </c>
      <c r="H9097" s="3" t="inlineStr">
        <is>
          <t>생산관리지역</t>
        </is>
      </c>
      <c r="I9097" s="3" t="inlineStr">
        <is>
          <t>과수원</t>
        </is>
      </c>
      <c r="J9097" s="3" t="inlineStr">
        <is>
          <t>전동면</t>
        </is>
      </c>
    </row>
    <row r="9098">
      <c r="A9098" s="3" t="n">
        <v>2026</v>
      </c>
      <c r="B9098" s="4" t="n">
        <v>1502</v>
      </c>
      <c r="C9098" s="4" t="n">
        <v>188</v>
      </c>
      <c r="D9098" s="4" t="n">
        <v>56.87</v>
      </c>
      <c r="E9098" s="5" t="n">
        <v>26.4</v>
      </c>
      <c r="F9098" s="3" t="inlineStr">
        <is>
          <t>전동면</t>
        </is>
      </c>
      <c r="G9098" s="3" t="inlineStr">
        <is>
          <t>봉대리</t>
        </is>
      </c>
      <c r="H9098" s="3" t="inlineStr">
        <is>
          <t>생산관리지역</t>
        </is>
      </c>
      <c r="I9098" s="3" t="inlineStr">
        <is>
          <t>과수원</t>
        </is>
      </c>
      <c r="J9098" s="3" t="inlineStr">
        <is>
          <t>전동면</t>
        </is>
      </c>
    </row>
    <row r="9099">
      <c r="A9099" s="3" t="n">
        <v>2026</v>
      </c>
      <c r="B9099" s="4" t="n">
        <v>112</v>
      </c>
      <c r="C9099" s="4" t="n">
        <v>14</v>
      </c>
      <c r="D9099" s="4" t="n">
        <v>4.234999999999999</v>
      </c>
      <c r="E9099" s="5" t="n">
        <v>26.4</v>
      </c>
      <c r="F9099" s="3" t="inlineStr">
        <is>
          <t>전동면</t>
        </is>
      </c>
      <c r="G9099" s="3" t="inlineStr">
        <is>
          <t>봉대리</t>
        </is>
      </c>
      <c r="H9099" s="3" t="inlineStr">
        <is>
          <t>생산관리지역</t>
        </is>
      </c>
      <c r="I9099" s="3" t="inlineStr">
        <is>
          <t>과수원</t>
        </is>
      </c>
      <c r="J9099" s="3" t="inlineStr">
        <is>
          <t>전동면</t>
        </is>
      </c>
    </row>
    <row r="9100">
      <c r="A9100" s="3" t="n">
        <v>2026</v>
      </c>
      <c r="B9100" s="4" t="n">
        <v>3995</v>
      </c>
      <c r="C9100" s="4" t="n">
        <v>500</v>
      </c>
      <c r="D9100" s="4" t="n">
        <v>151.25</v>
      </c>
      <c r="E9100" s="5" t="n">
        <v>26.4</v>
      </c>
      <c r="F9100" s="3" t="inlineStr">
        <is>
          <t>전동면</t>
        </is>
      </c>
      <c r="G9100" s="3" t="inlineStr">
        <is>
          <t>봉대리</t>
        </is>
      </c>
      <c r="H9100" s="3" t="inlineStr">
        <is>
          <t>생산관리지역</t>
        </is>
      </c>
      <c r="I9100" s="3" t="inlineStr">
        <is>
          <t>과수원</t>
        </is>
      </c>
      <c r="J9100" s="3" t="inlineStr">
        <is>
          <t>전동면</t>
        </is>
      </c>
    </row>
    <row r="9101">
      <c r="A9101" s="3" t="n">
        <v>2026</v>
      </c>
      <c r="B9101" s="4" t="n">
        <v>104</v>
      </c>
      <c r="C9101" s="4" t="n">
        <v>13</v>
      </c>
      <c r="D9101" s="4" t="n">
        <v>3.9325</v>
      </c>
      <c r="E9101" s="5" t="n">
        <v>26.4</v>
      </c>
      <c r="F9101" s="3" t="inlineStr">
        <is>
          <t>전동면</t>
        </is>
      </c>
      <c r="G9101" s="3" t="inlineStr">
        <is>
          <t>봉대리</t>
        </is>
      </c>
      <c r="H9101" s="3" t="inlineStr">
        <is>
          <t>생산관리지역</t>
        </is>
      </c>
      <c r="I9101" s="3" t="inlineStr">
        <is>
          <t>과수원</t>
        </is>
      </c>
      <c r="J9101" s="3" t="inlineStr">
        <is>
          <t>전동면</t>
        </is>
      </c>
    </row>
    <row r="9102">
      <c r="A9102" s="3" t="n">
        <v>2026</v>
      </c>
      <c r="B9102" s="4" t="n">
        <v>1358</v>
      </c>
      <c r="C9102" s="4" t="n">
        <v>170</v>
      </c>
      <c r="D9102" s="4" t="n">
        <v>51.425</v>
      </c>
      <c r="E9102" s="5" t="n">
        <v>26.4</v>
      </c>
      <c r="F9102" s="3" t="inlineStr">
        <is>
          <t>전동면</t>
        </is>
      </c>
      <c r="G9102" s="3" t="inlineStr">
        <is>
          <t>봉대리</t>
        </is>
      </c>
      <c r="H9102" s="3" t="inlineStr">
        <is>
          <t>생산관리지역</t>
        </is>
      </c>
      <c r="I9102" s="3" t="inlineStr">
        <is>
          <t>과수원</t>
        </is>
      </c>
      <c r="J9102" s="3" t="inlineStr">
        <is>
          <t>전동면</t>
        </is>
      </c>
    </row>
    <row r="9103">
      <c r="A9103" s="3" t="n">
        <v>2026</v>
      </c>
      <c r="B9103" s="4" t="n">
        <v>488</v>
      </c>
      <c r="C9103" s="4" t="n">
        <v>62</v>
      </c>
      <c r="D9103" s="4" t="n">
        <v>18.755</v>
      </c>
      <c r="E9103" s="5" t="n">
        <v>26</v>
      </c>
      <c r="F9103" s="3" t="inlineStr">
        <is>
          <t>전동면</t>
        </is>
      </c>
      <c r="G9103" s="3" t="inlineStr">
        <is>
          <t>봉대리</t>
        </is>
      </c>
      <c r="H9103" s="3" t="inlineStr">
        <is>
          <t>생산관리지역</t>
        </is>
      </c>
      <c r="I9103" s="3" t="inlineStr">
        <is>
          <t>답</t>
        </is>
      </c>
      <c r="J9103" s="3" t="inlineStr">
        <is>
          <t>전동면</t>
        </is>
      </c>
    </row>
    <row r="9104">
      <c r="A9104" s="3" t="n">
        <v>2026</v>
      </c>
      <c r="B9104" s="4" t="n">
        <v>64</v>
      </c>
      <c r="C9104" s="4" t="n">
        <v>8</v>
      </c>
      <c r="D9104" s="4" t="n">
        <v>2.42</v>
      </c>
      <c r="E9104" s="5" t="n">
        <v>26.4</v>
      </c>
      <c r="F9104" s="3" t="inlineStr">
        <is>
          <t>전동면</t>
        </is>
      </c>
      <c r="G9104" s="3" t="inlineStr">
        <is>
          <t>봉대리</t>
        </is>
      </c>
      <c r="H9104" s="3" t="inlineStr">
        <is>
          <t>생산관리지역</t>
        </is>
      </c>
      <c r="I9104" s="3" t="inlineStr">
        <is>
          <t>과수원</t>
        </is>
      </c>
      <c r="J9104" s="3" t="inlineStr">
        <is>
          <t>전동면</t>
        </is>
      </c>
    </row>
    <row r="9105">
      <c r="A9105" s="3" t="n">
        <v>2026</v>
      </c>
      <c r="B9105" s="4" t="n">
        <v>4650</v>
      </c>
      <c r="C9105" s="4" t="n">
        <v>582</v>
      </c>
      <c r="D9105" s="4" t="n">
        <v>176.055</v>
      </c>
      <c r="E9105" s="5" t="n">
        <v>26.4</v>
      </c>
      <c r="F9105" s="3" t="inlineStr">
        <is>
          <t>전동면</t>
        </is>
      </c>
      <c r="G9105" s="3" t="inlineStr">
        <is>
          <t>봉대리</t>
        </is>
      </c>
      <c r="H9105" s="3" t="inlineStr">
        <is>
          <t>생산관리지역</t>
        </is>
      </c>
      <c r="I9105" s="3" t="inlineStr">
        <is>
          <t>과수원</t>
        </is>
      </c>
      <c r="J9105" s="3" t="inlineStr">
        <is>
          <t>전동면</t>
        </is>
      </c>
    </row>
    <row r="9106">
      <c r="A9106" s="3" t="n">
        <v>2026</v>
      </c>
      <c r="B9106" s="4" t="n">
        <v>416</v>
      </c>
      <c r="C9106" s="4" t="n">
        <v>52</v>
      </c>
      <c r="D9106" s="4" t="n">
        <v>15.73</v>
      </c>
      <c r="E9106" s="5" t="n">
        <v>26.4</v>
      </c>
      <c r="F9106" s="3" t="inlineStr">
        <is>
          <t>전동면</t>
        </is>
      </c>
      <c r="G9106" s="3" t="inlineStr">
        <is>
          <t>봉대리</t>
        </is>
      </c>
      <c r="H9106" s="3" t="inlineStr">
        <is>
          <t>생산관리지역</t>
        </is>
      </c>
      <c r="I9106" s="3" t="inlineStr">
        <is>
          <t>과수원</t>
        </is>
      </c>
      <c r="J9106" s="3" t="inlineStr">
        <is>
          <t>전동면</t>
        </is>
      </c>
    </row>
    <row r="9107">
      <c r="A9107" s="3" t="n">
        <v>2026</v>
      </c>
      <c r="B9107" s="4" t="n">
        <v>16</v>
      </c>
      <c r="C9107" s="4" t="n">
        <v>2</v>
      </c>
      <c r="D9107" s="4" t="n">
        <v>0.605</v>
      </c>
      <c r="E9107" s="5" t="n">
        <v>26.4</v>
      </c>
      <c r="F9107" s="3" t="inlineStr">
        <is>
          <t>전동면</t>
        </is>
      </c>
      <c r="G9107" s="3" t="inlineStr">
        <is>
          <t>봉대리</t>
        </is>
      </c>
      <c r="H9107" s="3" t="inlineStr">
        <is>
          <t>생산관리지역</t>
        </is>
      </c>
      <c r="I9107" s="3" t="inlineStr">
        <is>
          <t>답</t>
        </is>
      </c>
      <c r="J9107" s="3" t="inlineStr">
        <is>
          <t>전동면</t>
        </is>
      </c>
    </row>
    <row r="9108">
      <c r="A9108" s="3" t="n">
        <v>2026</v>
      </c>
      <c r="B9108" s="4" t="n">
        <v>5713</v>
      </c>
      <c r="C9108" s="4" t="n">
        <v>715</v>
      </c>
      <c r="D9108" s="4" t="n">
        <v>216.2875</v>
      </c>
      <c r="E9108" s="5" t="n">
        <v>26.4</v>
      </c>
      <c r="F9108" s="3" t="inlineStr">
        <is>
          <t>전동면</t>
        </is>
      </c>
      <c r="G9108" s="3" t="inlineStr">
        <is>
          <t>봉대리</t>
        </is>
      </c>
      <c r="H9108" s="3" t="inlineStr">
        <is>
          <t>생산관리지역</t>
        </is>
      </c>
      <c r="I9108" s="3" t="inlineStr">
        <is>
          <t>과수원</t>
        </is>
      </c>
      <c r="J9108" s="3" t="inlineStr">
        <is>
          <t>전동면</t>
        </is>
      </c>
    </row>
    <row r="9109">
      <c r="A9109" s="3" t="n">
        <v>2026</v>
      </c>
      <c r="B9109" s="4" t="n">
        <v>304</v>
      </c>
      <c r="C9109" s="4" t="n">
        <v>38</v>
      </c>
      <c r="D9109" s="4" t="n">
        <v>11.495</v>
      </c>
      <c r="E9109" s="5" t="n">
        <v>26.4</v>
      </c>
      <c r="F9109" s="3" t="inlineStr">
        <is>
          <t>전동면</t>
        </is>
      </c>
      <c r="G9109" s="3" t="inlineStr">
        <is>
          <t>봉대리</t>
        </is>
      </c>
      <c r="H9109" s="3" t="inlineStr">
        <is>
          <t>생산관리지역</t>
        </is>
      </c>
      <c r="I9109" s="3" t="inlineStr">
        <is>
          <t>과수원</t>
        </is>
      </c>
      <c r="J9109" s="3" t="inlineStr">
        <is>
          <t>전동면</t>
        </is>
      </c>
    </row>
    <row r="9110">
      <c r="A9110" s="3" t="n">
        <v>2026</v>
      </c>
      <c r="B9110" s="4" t="n">
        <v>7591</v>
      </c>
      <c r="C9110" s="4" t="n">
        <v>950</v>
      </c>
      <c r="D9110" s="4" t="n">
        <v>287.375</v>
      </c>
      <c r="E9110" s="5" t="n">
        <v>26.4</v>
      </c>
      <c r="F9110" s="3" t="inlineStr">
        <is>
          <t>전동면</t>
        </is>
      </c>
      <c r="G9110" s="3" t="inlineStr">
        <is>
          <t>봉대리</t>
        </is>
      </c>
      <c r="H9110" s="3" t="inlineStr">
        <is>
          <t>생산관리지역</t>
        </is>
      </c>
      <c r="I9110" s="3" t="inlineStr">
        <is>
          <t>과수원</t>
        </is>
      </c>
      <c r="J9110" s="3" t="inlineStr">
        <is>
          <t>전동면</t>
        </is>
      </c>
    </row>
    <row r="9111">
      <c r="A9111" s="3" t="n">
        <v>2026</v>
      </c>
      <c r="B9111" s="4" t="n">
        <v>400</v>
      </c>
      <c r="C9111" s="4" t="n">
        <v>50</v>
      </c>
      <c r="D9111" s="4" t="n">
        <v>15.125</v>
      </c>
      <c r="E9111" s="5" t="n">
        <v>26.4</v>
      </c>
      <c r="F9111" s="3" t="inlineStr">
        <is>
          <t>전동면</t>
        </is>
      </c>
      <c r="G9111" s="3" t="inlineStr">
        <is>
          <t>봉대리</t>
        </is>
      </c>
      <c r="H9111" s="3" t="inlineStr">
        <is>
          <t>생산관리지역</t>
        </is>
      </c>
      <c r="I9111" s="3" t="inlineStr">
        <is>
          <t>과수원</t>
        </is>
      </c>
      <c r="J9111" s="3" t="inlineStr">
        <is>
          <t>전동면</t>
        </is>
      </c>
    </row>
    <row r="9112">
      <c r="A9112" s="3" t="n">
        <v>2026</v>
      </c>
      <c r="B9112" s="4" t="n">
        <v>232</v>
      </c>
      <c r="C9112" s="4" t="n">
        <v>29</v>
      </c>
      <c r="D9112" s="4" t="n">
        <v>8.772499999999999</v>
      </c>
      <c r="E9112" s="5" t="n">
        <v>26.4</v>
      </c>
      <c r="F9112" s="3" t="inlineStr">
        <is>
          <t>전동면</t>
        </is>
      </c>
      <c r="G9112" s="3" t="inlineStr">
        <is>
          <t>봉대리</t>
        </is>
      </c>
      <c r="H9112" s="3" t="inlineStr">
        <is>
          <t>생산관리지역</t>
        </is>
      </c>
      <c r="I9112" s="3" t="inlineStr">
        <is>
          <t>과수원</t>
        </is>
      </c>
      <c r="J9112" s="3" t="inlineStr">
        <is>
          <t>전동면</t>
        </is>
      </c>
    </row>
    <row r="9113">
      <c r="A9113" s="3" t="n">
        <v>2026</v>
      </c>
      <c r="B9113" s="4" t="n">
        <v>898</v>
      </c>
      <c r="C9113" s="4" t="n">
        <v>114</v>
      </c>
      <c r="D9113" s="4" t="n">
        <v>34.485</v>
      </c>
      <c r="E9113" s="5" t="n">
        <v>26</v>
      </c>
      <c r="F9113" s="3" t="inlineStr">
        <is>
          <t>전동면</t>
        </is>
      </c>
      <c r="G9113" s="3" t="inlineStr">
        <is>
          <t>봉대리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2026</v>
      </c>
      <c r="B9114" s="4" t="n">
        <v>4688</v>
      </c>
      <c r="C9114" s="4" t="n">
        <v>595</v>
      </c>
      <c r="D9114" s="4" t="n">
        <v>179.9875</v>
      </c>
      <c r="E9114" s="5" t="n">
        <v>26</v>
      </c>
      <c r="F9114" s="3" t="inlineStr">
        <is>
          <t>전동면</t>
        </is>
      </c>
      <c r="G9114" s="3" t="inlineStr">
        <is>
          <t>봉대리</t>
        </is>
      </c>
      <c r="H9114" s="3" t="inlineStr">
        <is>
          <t>생산관리지역</t>
        </is>
      </c>
      <c r="I9114" s="3" t="inlineStr">
        <is>
          <t>답</t>
        </is>
      </c>
      <c r="J9114" s="3" t="inlineStr">
        <is>
          <t>전동면</t>
        </is>
      </c>
    </row>
    <row r="9115">
      <c r="A9115" s="3" t="n">
        <v>2026</v>
      </c>
      <c r="B9115" s="4" t="n">
        <v>1008</v>
      </c>
      <c r="C9115" s="4" t="n">
        <v>128</v>
      </c>
      <c r="D9115" s="4" t="n">
        <v>38.72</v>
      </c>
      <c r="E9115" s="5" t="n">
        <v>26</v>
      </c>
      <c r="F9115" s="3" t="inlineStr">
        <is>
          <t>전동면</t>
        </is>
      </c>
      <c r="G9115" s="3" t="inlineStr">
        <is>
          <t>봉대리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2026</v>
      </c>
      <c r="B9116" s="4" t="n">
        <v>4703</v>
      </c>
      <c r="C9116" s="4" t="n">
        <v>597</v>
      </c>
      <c r="D9116" s="4" t="n">
        <v>180.5925</v>
      </c>
      <c r="E9116" s="5" t="n">
        <v>26</v>
      </c>
      <c r="F9116" s="3" t="inlineStr">
        <is>
          <t>전동면</t>
        </is>
      </c>
      <c r="G9116" s="3" t="inlineStr">
        <is>
          <t>봉대리</t>
        </is>
      </c>
      <c r="H9116" s="3" t="inlineStr">
        <is>
          <t>생산관리지역</t>
        </is>
      </c>
      <c r="I9116" s="3" t="inlineStr">
        <is>
          <t>답</t>
        </is>
      </c>
      <c r="J9116" s="3" t="inlineStr">
        <is>
          <t>전동면</t>
        </is>
      </c>
    </row>
    <row r="9117">
      <c r="A9117" s="3" t="n">
        <v>2026</v>
      </c>
      <c r="B9117" s="4" t="n">
        <v>1454</v>
      </c>
      <c r="C9117" s="4" t="n">
        <v>182</v>
      </c>
      <c r="D9117" s="4" t="n">
        <v>55.055</v>
      </c>
      <c r="E9117" s="5" t="n">
        <v>26.4</v>
      </c>
      <c r="F9117" s="3" t="inlineStr">
        <is>
          <t>전동면</t>
        </is>
      </c>
      <c r="G9117" s="3" t="inlineStr">
        <is>
          <t>봉대리</t>
        </is>
      </c>
      <c r="H9117" s="3" t="inlineStr">
        <is>
          <t>생산관리지역</t>
        </is>
      </c>
      <c r="I9117" s="3" t="inlineStr">
        <is>
          <t>과수원</t>
        </is>
      </c>
      <c r="J9117" s="3" t="inlineStr">
        <is>
          <t>전동면</t>
        </is>
      </c>
    </row>
    <row r="9118">
      <c r="A9118" s="3" t="n">
        <v>2026</v>
      </c>
      <c r="B9118" s="4" t="n">
        <v>8</v>
      </c>
      <c r="C9118" s="4" t="n">
        <v>1</v>
      </c>
      <c r="D9118" s="4" t="n">
        <v>0.3025</v>
      </c>
      <c r="E9118" s="5" t="n">
        <v>26.4</v>
      </c>
      <c r="F9118" s="3" t="inlineStr">
        <is>
          <t>전동면</t>
        </is>
      </c>
      <c r="G9118" s="3" t="inlineStr">
        <is>
          <t>봉대리</t>
        </is>
      </c>
      <c r="H9118" s="3" t="inlineStr">
        <is>
          <t>생산관리지역</t>
        </is>
      </c>
      <c r="I9118" s="3" t="inlineStr">
        <is>
          <t>과수원</t>
        </is>
      </c>
      <c r="J9118" s="3" t="inlineStr">
        <is>
          <t>전동면</t>
        </is>
      </c>
    </row>
    <row r="9119">
      <c r="A9119" s="3" t="n">
        <v>2026</v>
      </c>
      <c r="B9119" s="4" t="n">
        <v>5857</v>
      </c>
      <c r="C9119" s="4" t="n">
        <v>733</v>
      </c>
      <c r="D9119" s="4" t="n">
        <v>221.7325</v>
      </c>
      <c r="E9119" s="5" t="n">
        <v>26.4</v>
      </c>
      <c r="F9119" s="3" t="inlineStr">
        <is>
          <t>전동면</t>
        </is>
      </c>
      <c r="G9119" s="3" t="inlineStr">
        <is>
          <t>봉대리</t>
        </is>
      </c>
      <c r="H9119" s="3" t="inlineStr">
        <is>
          <t>생산관리지역</t>
        </is>
      </c>
      <c r="I9119" s="3" t="inlineStr">
        <is>
          <t>과수원</t>
        </is>
      </c>
      <c r="J9119" s="3" t="inlineStr">
        <is>
          <t>전동면</t>
        </is>
      </c>
    </row>
    <row r="9120">
      <c r="A9120" s="3" t="n">
        <v>2026</v>
      </c>
      <c r="B9120" s="4" t="n">
        <v>423</v>
      </c>
      <c r="C9120" s="4" t="n">
        <v>53</v>
      </c>
      <c r="D9120" s="4" t="n">
        <v>16.0325</v>
      </c>
      <c r="E9120" s="5" t="n">
        <v>26.4</v>
      </c>
      <c r="F9120" s="3" t="inlineStr">
        <is>
          <t>전동면</t>
        </is>
      </c>
      <c r="G9120" s="3" t="inlineStr">
        <is>
          <t>봉대리</t>
        </is>
      </c>
      <c r="H9120" s="3" t="inlineStr">
        <is>
          <t>생산관리지역</t>
        </is>
      </c>
      <c r="I9120" s="3" t="inlineStr">
        <is>
          <t>과수원</t>
        </is>
      </c>
      <c r="J9120" s="3" t="inlineStr">
        <is>
          <t>전동면</t>
        </is>
      </c>
    </row>
    <row r="9121">
      <c r="A9121" s="3" t="n">
        <v>2026</v>
      </c>
      <c r="B9121" s="4" t="n">
        <v>3567</v>
      </c>
      <c r="C9121" s="4" t="n">
        <v>449</v>
      </c>
      <c r="D9121" s="4" t="n">
        <v>135.8225</v>
      </c>
      <c r="E9121" s="5" t="n">
        <v>26.3</v>
      </c>
      <c r="F9121" s="3" t="inlineStr">
        <is>
          <t>전동면</t>
        </is>
      </c>
      <c r="G9121" s="3" t="inlineStr">
        <is>
          <t>봉대리</t>
        </is>
      </c>
      <c r="H9121" s="3" t="inlineStr">
        <is>
          <t>생산관리지역</t>
        </is>
      </c>
      <c r="I9121" s="3" t="inlineStr">
        <is>
          <t>과수원</t>
        </is>
      </c>
      <c r="J9121" s="3" t="inlineStr">
        <is>
          <t>전동면</t>
        </is>
      </c>
    </row>
    <row r="9122">
      <c r="A9122" s="3" t="n">
        <v>2026</v>
      </c>
      <c r="B9122" s="4" t="n">
        <v>1176</v>
      </c>
      <c r="C9122" s="4" t="n">
        <v>148</v>
      </c>
      <c r="D9122" s="4" t="n">
        <v>44.77</v>
      </c>
      <c r="E9122" s="5" t="n">
        <v>26.3</v>
      </c>
      <c r="F9122" s="3" t="inlineStr">
        <is>
          <t>전동면</t>
        </is>
      </c>
      <c r="G9122" s="3" t="inlineStr">
        <is>
          <t>봉대리</t>
        </is>
      </c>
      <c r="H9122" s="3" t="inlineStr">
        <is>
          <t>생산관리지역</t>
        </is>
      </c>
      <c r="I9122" s="3" t="inlineStr">
        <is>
          <t>전</t>
        </is>
      </c>
      <c r="J9122" s="3" t="inlineStr">
        <is>
          <t>전동면</t>
        </is>
      </c>
    </row>
    <row r="9123">
      <c r="A9123" s="3" t="n">
        <v>2026</v>
      </c>
      <c r="B9123" s="4" t="n">
        <v>230</v>
      </c>
      <c r="C9123" s="4" t="n">
        <v>29</v>
      </c>
      <c r="D9123" s="4" t="n">
        <v>8.772499999999999</v>
      </c>
      <c r="E9123" s="5" t="n">
        <v>26.2</v>
      </c>
      <c r="F9123" s="3" t="inlineStr">
        <is>
          <t>전동면</t>
        </is>
      </c>
      <c r="G9123" s="3" t="inlineStr">
        <is>
          <t>봉대리</t>
        </is>
      </c>
      <c r="H9123" s="3" t="inlineStr">
        <is>
          <t>생산관리지역</t>
        </is>
      </c>
      <c r="I9123" s="3" t="inlineStr">
        <is>
          <t>과수원</t>
        </is>
      </c>
      <c r="J9123" s="3" t="inlineStr">
        <is>
          <t>전동면</t>
        </is>
      </c>
    </row>
    <row r="9124">
      <c r="A9124" s="3" t="n">
        <v>2026</v>
      </c>
      <c r="B9124" s="4" t="n">
        <v>548</v>
      </c>
      <c r="C9124" s="4" t="n">
        <v>69</v>
      </c>
      <c r="D9124" s="4" t="n">
        <v>20.8725</v>
      </c>
      <c r="E9124" s="5" t="n">
        <v>26.3</v>
      </c>
      <c r="F9124" s="3" t="inlineStr">
        <is>
          <t>전동면</t>
        </is>
      </c>
      <c r="G9124" s="3" t="inlineStr">
        <is>
          <t>봉대리</t>
        </is>
      </c>
      <c r="H9124" s="3" t="inlineStr">
        <is>
          <t>생산관리지역</t>
        </is>
      </c>
      <c r="I9124" s="3" t="inlineStr">
        <is>
          <t>전</t>
        </is>
      </c>
      <c r="J9124" s="3" t="inlineStr">
        <is>
          <t>전동면</t>
        </is>
      </c>
    </row>
    <row r="9125">
      <c r="A9125" s="3" t="n">
        <v>2026</v>
      </c>
      <c r="B9125" s="4" t="n">
        <v>2509</v>
      </c>
      <c r="C9125" s="4" t="n">
        <v>322</v>
      </c>
      <c r="D9125" s="4" t="n">
        <v>97.405</v>
      </c>
      <c r="E9125" s="5" t="n">
        <v>25.8</v>
      </c>
      <c r="F9125" s="3" t="inlineStr">
        <is>
          <t>전동면</t>
        </is>
      </c>
      <c r="G9125" s="3" t="inlineStr">
        <is>
          <t>봉대리</t>
        </is>
      </c>
      <c r="H9125" s="3" t="inlineStr">
        <is>
          <t>생산관리지역</t>
        </is>
      </c>
      <c r="I9125" s="3" t="inlineStr">
        <is>
          <t>과수원</t>
        </is>
      </c>
      <c r="J9125" s="3" t="inlineStr">
        <is>
          <t>전동면</t>
        </is>
      </c>
    </row>
    <row r="9126">
      <c r="A9126" s="3" t="n">
        <v>2026</v>
      </c>
      <c r="B9126" s="4" t="n">
        <v>319</v>
      </c>
      <c r="C9126" s="4" t="n">
        <v>41</v>
      </c>
      <c r="D9126" s="4" t="n">
        <v>12.4025</v>
      </c>
      <c r="E9126" s="5" t="n">
        <v>25.7</v>
      </c>
      <c r="F9126" s="3" t="inlineStr">
        <is>
          <t>전동면</t>
        </is>
      </c>
      <c r="G9126" s="3" t="inlineStr">
        <is>
          <t>봉대리</t>
        </is>
      </c>
      <c r="H9126" s="3" t="inlineStr">
        <is>
          <t>생산관리지역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2026</v>
      </c>
      <c r="B9127" s="4" t="n">
        <v>436</v>
      </c>
      <c r="C9127" s="4" t="n">
        <v>56</v>
      </c>
      <c r="D9127" s="4" t="n">
        <v>16.94</v>
      </c>
      <c r="E9127" s="5" t="n">
        <v>25.7</v>
      </c>
      <c r="F9127" s="3" t="inlineStr">
        <is>
          <t>전동면</t>
        </is>
      </c>
      <c r="G9127" s="3" t="inlineStr">
        <is>
          <t>봉대리</t>
        </is>
      </c>
      <c r="H9127" s="3" t="inlineStr">
        <is>
          <t>생산관리지역</t>
        </is>
      </c>
      <c r="I9127" s="3" t="inlineStr">
        <is>
          <t>과수원</t>
        </is>
      </c>
      <c r="J9127" s="3" t="inlineStr">
        <is>
          <t>전동면</t>
        </is>
      </c>
    </row>
    <row r="9128">
      <c r="A9128" s="3" t="n">
        <v>2026</v>
      </c>
      <c r="B9128" s="4" t="n">
        <v>2563</v>
      </c>
      <c r="C9128" s="4" t="n">
        <v>329</v>
      </c>
      <c r="D9128" s="4" t="n">
        <v>99.52249999999999</v>
      </c>
      <c r="E9128" s="5" t="n">
        <v>25.8</v>
      </c>
      <c r="F9128" s="3" t="inlineStr">
        <is>
          <t>전동면</t>
        </is>
      </c>
      <c r="G9128" s="3" t="inlineStr">
        <is>
          <t>봉대리</t>
        </is>
      </c>
      <c r="H9128" s="3" t="inlineStr">
        <is>
          <t>생산관리지역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239</v>
      </c>
      <c r="C9129" s="4" t="n">
        <v>595</v>
      </c>
      <c r="D9129" s="4" t="n">
        <v>179.9875</v>
      </c>
      <c r="E9129" s="5" t="n">
        <v>1.3</v>
      </c>
      <c r="F9129" s="3" t="inlineStr">
        <is>
          <t>유구읍</t>
        </is>
      </c>
      <c r="G9129" s="3" t="inlineStr">
        <is>
          <t>명곡리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유구읍</t>
        </is>
      </c>
    </row>
    <row r="9130">
      <c r="A9130" s="3" t="n">
        <v>2022</v>
      </c>
      <c r="B9130" s="4" t="n">
        <v>676</v>
      </c>
      <c r="C9130" s="4" t="n">
        <v>1600</v>
      </c>
      <c r="D9130" s="4" t="n">
        <v>484</v>
      </c>
      <c r="E9130" s="5" t="n">
        <v>1.4</v>
      </c>
      <c r="F9130" s="3" t="inlineStr">
        <is>
          <t>유구읍</t>
        </is>
      </c>
      <c r="G9130" s="3" t="inlineStr">
        <is>
          <t>명곡리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유구읍</t>
        </is>
      </c>
    </row>
    <row r="9131">
      <c r="A9131" s="3" t="n">
        <v>2022</v>
      </c>
      <c r="B9131" s="4" t="n">
        <v>1085</v>
      </c>
      <c r="C9131" s="4" t="n">
        <v>1081</v>
      </c>
      <c r="D9131" s="4" t="n">
        <v>327.0025</v>
      </c>
      <c r="E9131" s="5" t="n">
        <v>3.3</v>
      </c>
      <c r="F9131" s="3" t="inlineStr">
        <is>
          <t>유구읍</t>
        </is>
      </c>
      <c r="G9131" s="3" t="inlineStr">
        <is>
          <t>명곡리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유구읍</t>
        </is>
      </c>
    </row>
    <row r="9132">
      <c r="A9132" s="3" t="n">
        <v>2022</v>
      </c>
      <c r="B9132" s="4" t="n">
        <v>500</v>
      </c>
      <c r="C9132" s="4" t="n">
        <v>2281</v>
      </c>
      <c r="D9132" s="4" t="n">
        <v>690.0024999999999</v>
      </c>
      <c r="E9132" s="5" t="n">
        <v>0.7</v>
      </c>
      <c r="F9132" s="3" t="inlineStr">
        <is>
          <t>유구읍</t>
        </is>
      </c>
      <c r="G9132" s="3" t="inlineStr">
        <is>
          <t>명곡리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유구읍</t>
        </is>
      </c>
    </row>
    <row r="9133">
      <c r="A9133" s="3" t="n">
        <v>2022</v>
      </c>
      <c r="B9133" s="4" t="n">
        <v>1800</v>
      </c>
      <c r="C9133" s="4" t="n">
        <v>796</v>
      </c>
      <c r="D9133" s="4" t="n">
        <v>240.79</v>
      </c>
      <c r="E9133" s="5" t="n">
        <v>7.5</v>
      </c>
      <c r="F9133" s="3" t="inlineStr">
        <is>
          <t>유구읍</t>
        </is>
      </c>
      <c r="G9133" s="3" t="inlineStr">
        <is>
          <t>추계리</t>
        </is>
      </c>
      <c r="H9133" s="3" t="inlineStr">
        <is>
          <t>보전관리지역</t>
        </is>
      </c>
      <c r="I9133" s="3" t="inlineStr">
        <is>
          <t>임야</t>
        </is>
      </c>
      <c r="J9133" s="3" t="inlineStr">
        <is>
          <t>유구읍</t>
        </is>
      </c>
    </row>
    <row r="9134">
      <c r="A9134" s="3" t="n">
        <v>2022</v>
      </c>
      <c r="B9134" s="4" t="n">
        <v>3500</v>
      </c>
      <c r="C9134" s="4" t="n">
        <v>341</v>
      </c>
      <c r="D9134" s="4" t="n">
        <v>103.1525</v>
      </c>
      <c r="E9134" s="5" t="n">
        <v>33.9</v>
      </c>
      <c r="F9134" s="3" t="inlineStr">
        <is>
          <t>유구읍</t>
        </is>
      </c>
      <c r="G9134" s="3" t="inlineStr">
        <is>
          <t>석남리</t>
        </is>
      </c>
      <c r="H9134" s="3" t="inlineStr">
        <is>
          <t>자연녹지지역</t>
        </is>
      </c>
      <c r="I9134" s="3" t="inlineStr">
        <is>
          <t>대</t>
        </is>
      </c>
      <c r="J9134" s="3" t="inlineStr">
        <is>
          <t>유구읍</t>
        </is>
      </c>
    </row>
    <row r="9135">
      <c r="A9135" s="3" t="n">
        <v>2022</v>
      </c>
      <c r="B9135" s="4" t="n">
        <v>3500</v>
      </c>
      <c r="C9135" s="4" t="n">
        <v>1590</v>
      </c>
      <c r="D9135" s="4" t="n">
        <v>480.975</v>
      </c>
      <c r="E9135" s="5" t="n">
        <v>7.3</v>
      </c>
      <c r="F9135" s="3" t="inlineStr">
        <is>
          <t>유구읍</t>
        </is>
      </c>
      <c r="G9135" s="3" t="inlineStr">
        <is>
          <t>입석리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유구읍</t>
        </is>
      </c>
    </row>
    <row r="9136">
      <c r="A9136" s="3" t="n">
        <v>2022</v>
      </c>
      <c r="B9136" s="4" t="n">
        <v>500</v>
      </c>
      <c r="C9136" s="4" t="n">
        <v>179</v>
      </c>
      <c r="D9136" s="4" t="n">
        <v>54.1475</v>
      </c>
      <c r="E9136" s="5" t="n">
        <v>9.199999999999999</v>
      </c>
      <c r="F9136" s="3" t="inlineStr">
        <is>
          <t>유구읍</t>
        </is>
      </c>
      <c r="G9136" s="3" t="inlineStr">
        <is>
          <t>유구리</t>
        </is>
      </c>
      <c r="H9136" s="3" t="inlineStr">
        <is>
          <t>계획관리지역</t>
        </is>
      </c>
      <c r="I9136" s="3" t="inlineStr">
        <is>
          <t>전</t>
        </is>
      </c>
      <c r="J9136" s="3" t="inlineStr">
        <is>
          <t>유구읍</t>
        </is>
      </c>
    </row>
    <row r="9137">
      <c r="A9137" s="3" t="n">
        <v>2022</v>
      </c>
      <c r="B9137" s="4" t="n">
        <v>6900</v>
      </c>
      <c r="C9137" s="4" t="n">
        <v>2450</v>
      </c>
      <c r="D9137" s="4" t="n">
        <v>741.125</v>
      </c>
      <c r="E9137" s="5" t="n">
        <v>9.300000000000001</v>
      </c>
      <c r="F9137" s="3" t="inlineStr">
        <is>
          <t>유구읍</t>
        </is>
      </c>
      <c r="G9137" s="3" t="inlineStr">
        <is>
          <t>유구리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유구읍</t>
        </is>
      </c>
    </row>
    <row r="9138">
      <c r="A9138" s="3" t="n">
        <v>2022</v>
      </c>
      <c r="B9138" s="4" t="n">
        <v>620</v>
      </c>
      <c r="C9138" s="4" t="n">
        <v>734</v>
      </c>
      <c r="D9138" s="4" t="n">
        <v>222.035</v>
      </c>
      <c r="E9138" s="5" t="n">
        <v>2.8</v>
      </c>
      <c r="F9138" s="3" t="inlineStr">
        <is>
          <t>유구읍</t>
        </is>
      </c>
      <c r="G9138" s="3" t="inlineStr">
        <is>
          <t>동해리</t>
        </is>
      </c>
      <c r="H9138" s="3" t="inlineStr">
        <is>
          <t>계획관리지역</t>
        </is>
      </c>
      <c r="I9138" s="3" t="inlineStr">
        <is>
          <t>하천</t>
        </is>
      </c>
      <c r="J9138" s="3" t="inlineStr">
        <is>
          <t>유구읍</t>
        </is>
      </c>
    </row>
    <row r="9139">
      <c r="A9139" s="3" t="n">
        <v>2022</v>
      </c>
      <c r="B9139" s="4" t="n">
        <v>25060</v>
      </c>
      <c r="C9139" s="4" t="n">
        <v>4893</v>
      </c>
      <c r="D9139" s="4" t="n">
        <v>1480.1325</v>
      </c>
      <c r="E9139" s="5" t="n">
        <v>16.9</v>
      </c>
      <c r="F9139" s="3" t="inlineStr">
        <is>
          <t>유구읍</t>
        </is>
      </c>
      <c r="G9139" s="3" t="inlineStr">
        <is>
          <t>동해리</t>
        </is>
      </c>
      <c r="H9139" s="3" t="inlineStr">
        <is>
          <t>계획관리지역</t>
        </is>
      </c>
      <c r="I9139" s="3" t="inlineStr">
        <is>
          <t>답</t>
        </is>
      </c>
      <c r="J9139" s="3" t="inlineStr">
        <is>
          <t>유구읍</t>
        </is>
      </c>
    </row>
    <row r="9140">
      <c r="A9140" s="3" t="n">
        <v>2022</v>
      </c>
      <c r="B9140" s="4" t="n">
        <v>320</v>
      </c>
      <c r="C9140" s="4" t="n">
        <v>364</v>
      </c>
      <c r="D9140" s="4" t="n">
        <v>110.11</v>
      </c>
      <c r="E9140" s="5" t="n">
        <v>2.9</v>
      </c>
      <c r="F9140" s="3" t="inlineStr">
        <is>
          <t>유구읍</t>
        </is>
      </c>
      <c r="G9140" s="3" t="inlineStr">
        <is>
          <t>동해리</t>
        </is>
      </c>
      <c r="H9140" s="3" t="inlineStr">
        <is>
          <t>계획관리지역</t>
        </is>
      </c>
      <c r="I9140" s="3" t="inlineStr">
        <is>
          <t>임야</t>
        </is>
      </c>
      <c r="J9140" s="3" t="inlineStr">
        <is>
          <t>유구읍</t>
        </is>
      </c>
    </row>
    <row r="9141">
      <c r="A9141" s="3" t="n">
        <v>2022</v>
      </c>
      <c r="B9141" s="4" t="n">
        <v>36065</v>
      </c>
      <c r="C9141" s="4" t="n">
        <v>79835</v>
      </c>
      <c r="D9141" s="4" t="n">
        <v>24150.0875</v>
      </c>
      <c r="E9141" s="5" t="n">
        <v>1.5</v>
      </c>
      <c r="F9141" s="3" t="inlineStr">
        <is>
          <t>유구읍</t>
        </is>
      </c>
      <c r="G9141" s="3" t="inlineStr">
        <is>
          <t>동해리</t>
        </is>
      </c>
      <c r="H9141" s="3" t="inlineStr">
        <is>
          <t>농림지역</t>
        </is>
      </c>
      <c r="I9141" s="3" t="inlineStr">
        <is>
          <t>임야</t>
        </is>
      </c>
      <c r="J9141" s="3" t="inlineStr">
        <is>
          <t>유구읍</t>
        </is>
      </c>
    </row>
    <row r="9142">
      <c r="A9142" s="3" t="n">
        <v>2022</v>
      </c>
      <c r="B9142" s="4" t="n">
        <v>1700</v>
      </c>
      <c r="C9142" s="4" t="n">
        <v>559</v>
      </c>
      <c r="D9142" s="4" t="n">
        <v>169.0975</v>
      </c>
      <c r="E9142" s="5" t="n">
        <v>10.1</v>
      </c>
      <c r="F9142" s="3" t="inlineStr">
        <is>
          <t>유구읍</t>
        </is>
      </c>
      <c r="G9142" s="3" t="inlineStr">
        <is>
          <t>문금리</t>
        </is>
      </c>
      <c r="H9142" s="3" t="inlineStr">
        <is>
          <t>생산관리지역</t>
        </is>
      </c>
      <c r="I9142" s="3" t="inlineStr">
        <is>
          <t>전</t>
        </is>
      </c>
      <c r="J9142" s="3" t="inlineStr">
        <is>
          <t>유구읍</t>
        </is>
      </c>
    </row>
    <row r="9143">
      <c r="A9143" s="3" t="n">
        <v>2022</v>
      </c>
      <c r="B9143" s="4" t="n">
        <v>13300</v>
      </c>
      <c r="C9143" s="4" t="n">
        <v>4585</v>
      </c>
      <c r="D9143" s="4" t="n">
        <v>1386.9625</v>
      </c>
      <c r="E9143" s="5" t="n">
        <v>9.6</v>
      </c>
      <c r="F9143" s="3" t="inlineStr">
        <is>
          <t>유구읍</t>
        </is>
      </c>
      <c r="G9143" s="3" t="inlineStr">
        <is>
          <t>문금리</t>
        </is>
      </c>
      <c r="H9143" s="3" t="inlineStr">
        <is>
          <t>생산관리지역</t>
        </is>
      </c>
      <c r="I9143" s="3" t="inlineStr">
        <is>
          <t>답</t>
        </is>
      </c>
      <c r="J9143" s="3" t="inlineStr">
        <is>
          <t>유구읍</t>
        </is>
      </c>
    </row>
    <row r="9144">
      <c r="A9144" s="3" t="n">
        <v>2022</v>
      </c>
      <c r="B9144" s="4" t="n">
        <v>36065</v>
      </c>
      <c r="C9144" s="4" t="n">
        <v>79835</v>
      </c>
      <c r="D9144" s="4" t="n">
        <v>24150.0875</v>
      </c>
      <c r="E9144" s="5" t="n">
        <v>1.5</v>
      </c>
      <c r="F9144" s="3" t="inlineStr">
        <is>
          <t>유구읍</t>
        </is>
      </c>
      <c r="G9144" s="3" t="inlineStr">
        <is>
          <t>동해리</t>
        </is>
      </c>
      <c r="H9144" s="3" t="inlineStr">
        <is>
          <t>농림지역</t>
        </is>
      </c>
      <c r="I9144" s="3" t="inlineStr">
        <is>
          <t>임야</t>
        </is>
      </c>
      <c r="J9144" s="3" t="inlineStr">
        <is>
          <t>유구읍</t>
        </is>
      </c>
    </row>
    <row r="9145">
      <c r="A9145" s="3" t="n">
        <v>2022</v>
      </c>
      <c r="B9145" s="4" t="n">
        <v>8217</v>
      </c>
      <c r="C9145" s="4" t="n">
        <v>3023</v>
      </c>
      <c r="D9145" s="4" t="n">
        <v>914.4575</v>
      </c>
      <c r="E9145" s="5" t="n">
        <v>9</v>
      </c>
      <c r="F9145" s="3" t="inlineStr">
        <is>
          <t>유구읍</t>
        </is>
      </c>
      <c r="G9145" s="3" t="inlineStr">
        <is>
          <t>신영리</t>
        </is>
      </c>
      <c r="H9145" s="3" t="inlineStr">
        <is>
          <t>농림지역</t>
        </is>
      </c>
      <c r="I9145" s="3" t="inlineStr">
        <is>
          <t>답</t>
        </is>
      </c>
      <c r="J9145" s="3" t="inlineStr">
        <is>
          <t>유구읍</t>
        </is>
      </c>
    </row>
    <row r="9146">
      <c r="A9146" s="3" t="n">
        <v>2022</v>
      </c>
      <c r="B9146" s="4" t="n">
        <v>2783</v>
      </c>
      <c r="C9146" s="4" t="n">
        <v>1024</v>
      </c>
      <c r="D9146" s="4" t="n">
        <v>309.76</v>
      </c>
      <c r="E9146" s="5" t="n">
        <v>9</v>
      </c>
      <c r="F9146" s="3" t="inlineStr">
        <is>
          <t>유구읍</t>
        </is>
      </c>
      <c r="G9146" s="3" t="inlineStr">
        <is>
          <t>신영리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유구읍</t>
        </is>
      </c>
    </row>
    <row r="9147">
      <c r="A9147" s="3" t="n">
        <v>2022</v>
      </c>
      <c r="B9147" s="4" t="n">
        <v>1270</v>
      </c>
      <c r="C9147" s="4" t="n">
        <v>211</v>
      </c>
      <c r="D9147" s="4" t="n">
        <v>63.8275</v>
      </c>
      <c r="E9147" s="5" t="n">
        <v>19.9</v>
      </c>
      <c r="F9147" s="3" t="inlineStr">
        <is>
          <t>유구읍</t>
        </is>
      </c>
      <c r="G9147" s="3" t="inlineStr">
        <is>
          <t>녹천리</t>
        </is>
      </c>
      <c r="H9147" s="3" t="inlineStr">
        <is>
          <t>보전관리지역</t>
        </is>
      </c>
      <c r="I9147" s="3" t="inlineStr">
        <is>
          <t>도로</t>
        </is>
      </c>
      <c r="J9147" s="3" t="inlineStr">
        <is>
          <t>유구읍</t>
        </is>
      </c>
    </row>
    <row r="9148">
      <c r="A9148" s="3" t="n">
        <v>2022</v>
      </c>
      <c r="B9148" s="4" t="n">
        <v>3430</v>
      </c>
      <c r="C9148" s="4" t="n">
        <v>570</v>
      </c>
      <c r="D9148" s="4" t="n">
        <v>172.425</v>
      </c>
      <c r="E9148" s="5" t="n">
        <v>19.9</v>
      </c>
      <c r="F9148" s="3" t="inlineStr">
        <is>
          <t>유구읍</t>
        </is>
      </c>
      <c r="G9148" s="3" t="inlineStr">
        <is>
          <t>녹천리</t>
        </is>
      </c>
      <c r="H9148" s="3" t="inlineStr">
        <is>
          <t>보전관리지역</t>
        </is>
      </c>
      <c r="I9148" s="3" t="inlineStr">
        <is>
          <t>임야</t>
        </is>
      </c>
      <c r="J9148" s="3" t="inlineStr">
        <is>
          <t>유구읍</t>
        </is>
      </c>
    </row>
    <row r="9149">
      <c r="A9149" s="3" t="n">
        <v>2022</v>
      </c>
      <c r="B9149" s="4" t="n">
        <v>2200</v>
      </c>
      <c r="C9149" s="4" t="n">
        <v>575</v>
      </c>
      <c r="D9149" s="4" t="n">
        <v>173.9375</v>
      </c>
      <c r="E9149" s="5" t="n">
        <v>12.6</v>
      </c>
      <c r="F9149" s="3" t="inlineStr">
        <is>
          <t>유구읍</t>
        </is>
      </c>
      <c r="G9149" s="3" t="inlineStr">
        <is>
          <t>추계리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유구읍</t>
        </is>
      </c>
    </row>
    <row r="9150">
      <c r="A9150" s="3" t="n">
        <v>2023</v>
      </c>
      <c r="B9150" s="4" t="n">
        <v>3668</v>
      </c>
      <c r="C9150" s="4" t="n">
        <v>110</v>
      </c>
      <c r="D9150" s="4" t="n">
        <v>33.275</v>
      </c>
      <c r="E9150" s="5" t="n">
        <v>110.2</v>
      </c>
      <c r="F9150" s="3" t="inlineStr">
        <is>
          <t>유구읍</t>
        </is>
      </c>
      <c r="G9150" s="3" t="inlineStr">
        <is>
          <t>석남리</t>
        </is>
      </c>
      <c r="H9150" s="3" t="inlineStr">
        <is>
          <t>일반상업지역</t>
        </is>
      </c>
      <c r="I9150" s="3" t="inlineStr">
        <is>
          <t>답</t>
        </is>
      </c>
      <c r="J9150" s="3" t="inlineStr">
        <is>
          <t>유구읍</t>
        </is>
      </c>
    </row>
    <row r="9151">
      <c r="A9151" s="3" t="n">
        <v>2023</v>
      </c>
      <c r="B9151" s="4" t="n">
        <v>3557</v>
      </c>
      <c r="C9151" s="4" t="n">
        <v>105</v>
      </c>
      <c r="D9151" s="4" t="n">
        <v>31.7625</v>
      </c>
      <c r="E9151" s="5" t="n">
        <v>112</v>
      </c>
      <c r="F9151" s="3" t="inlineStr">
        <is>
          <t>유구읍</t>
        </is>
      </c>
      <c r="G9151" s="3" t="inlineStr">
        <is>
          <t>석남리</t>
        </is>
      </c>
      <c r="H9151" s="3" t="inlineStr">
        <is>
          <t>일반상업지역</t>
        </is>
      </c>
      <c r="I9151" s="3" t="inlineStr">
        <is>
          <t>답</t>
        </is>
      </c>
      <c r="J9151" s="3" t="inlineStr">
        <is>
          <t>유구읍</t>
        </is>
      </c>
    </row>
    <row r="9152">
      <c r="A9152" s="3" t="n">
        <v>2023</v>
      </c>
      <c r="B9152" s="4" t="n">
        <v>775</v>
      </c>
      <c r="C9152" s="4" t="n">
        <v>23</v>
      </c>
      <c r="D9152" s="4" t="n">
        <v>6.9575</v>
      </c>
      <c r="E9152" s="5" t="n">
        <v>111.4</v>
      </c>
      <c r="F9152" s="3" t="inlineStr">
        <is>
          <t>유구읍</t>
        </is>
      </c>
      <c r="G9152" s="3" t="inlineStr">
        <is>
          <t>석남리</t>
        </is>
      </c>
      <c r="H9152" s="3" t="inlineStr">
        <is>
          <t>일반상업지역</t>
        </is>
      </c>
      <c r="I9152" s="3" t="inlineStr">
        <is>
          <t>답</t>
        </is>
      </c>
      <c r="J9152" s="3" t="inlineStr">
        <is>
          <t>유구읍</t>
        </is>
      </c>
    </row>
    <row r="9153">
      <c r="A9153" s="3" t="n">
        <v>2023</v>
      </c>
      <c r="B9153" s="4" t="n">
        <v>1516</v>
      </c>
      <c r="C9153" s="4" t="n">
        <v>426</v>
      </c>
      <c r="D9153" s="4" t="n">
        <v>128.865</v>
      </c>
      <c r="E9153" s="5" t="n">
        <v>11.8</v>
      </c>
      <c r="F9153" s="3" t="inlineStr">
        <is>
          <t>유구읍</t>
        </is>
      </c>
      <c r="G9153" s="3" t="inlineStr">
        <is>
          <t>입석리</t>
        </is>
      </c>
      <c r="H9153" s="3" t="inlineStr">
        <is>
          <t>보전관리지역</t>
        </is>
      </c>
      <c r="I9153" s="3" t="inlineStr">
        <is>
          <t>답</t>
        </is>
      </c>
      <c r="J9153" s="3" t="inlineStr">
        <is>
          <t>유구읍</t>
        </is>
      </c>
    </row>
    <row r="9154">
      <c r="A9154" s="3" t="n">
        <v>2023</v>
      </c>
      <c r="B9154" s="4" t="n">
        <v>1484</v>
      </c>
      <c r="C9154" s="4" t="n">
        <v>417</v>
      </c>
      <c r="D9154" s="4" t="n">
        <v>126.1425</v>
      </c>
      <c r="E9154" s="5" t="n">
        <v>11.8</v>
      </c>
      <c r="F9154" s="3" t="inlineStr">
        <is>
          <t>유구읍</t>
        </is>
      </c>
      <c r="G9154" s="3" t="inlineStr">
        <is>
          <t>입석리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유구읍</t>
        </is>
      </c>
    </row>
    <row r="9155">
      <c r="A9155" s="3" t="n">
        <v>2023</v>
      </c>
      <c r="B9155" s="4" t="n">
        <v>8000</v>
      </c>
      <c r="C9155" s="4" t="n">
        <v>2083</v>
      </c>
      <c r="D9155" s="4" t="n">
        <v>630.1075</v>
      </c>
      <c r="E9155" s="5" t="n">
        <v>12.7</v>
      </c>
      <c r="F9155" s="3" t="inlineStr">
        <is>
          <t>유구읍</t>
        </is>
      </c>
      <c r="G9155" s="3" t="inlineStr">
        <is>
          <t>문금리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유구읍</t>
        </is>
      </c>
    </row>
    <row r="9156">
      <c r="A9156" s="3" t="n">
        <v>2023</v>
      </c>
      <c r="B9156" s="4" t="n">
        <v>2571</v>
      </c>
      <c r="C9156" s="4" t="n">
        <v>100</v>
      </c>
      <c r="D9156" s="4" t="n">
        <v>30.25</v>
      </c>
      <c r="E9156" s="5" t="n">
        <v>85</v>
      </c>
      <c r="F9156" s="3" t="inlineStr">
        <is>
          <t>유구읍</t>
        </is>
      </c>
      <c r="G9156" s="3" t="inlineStr">
        <is>
          <t>백교리</t>
        </is>
      </c>
      <c r="H9156" s="3" t="inlineStr">
        <is>
          <t>자연녹지지역</t>
        </is>
      </c>
      <c r="I9156" s="3" t="inlineStr">
        <is>
          <t>대</t>
        </is>
      </c>
      <c r="J9156" s="3" t="inlineStr">
        <is>
          <t>유구읍</t>
        </is>
      </c>
    </row>
    <row r="9157">
      <c r="A9157" s="3" t="n">
        <v>2023</v>
      </c>
      <c r="B9157" s="4" t="n">
        <v>1000</v>
      </c>
      <c r="C9157" s="4" t="n">
        <v>66</v>
      </c>
      <c r="D9157" s="4" t="n">
        <v>19.965</v>
      </c>
      <c r="E9157" s="5" t="n">
        <v>50.1</v>
      </c>
      <c r="F9157" s="3" t="inlineStr">
        <is>
          <t>유구읍</t>
        </is>
      </c>
      <c r="G9157" s="3" t="inlineStr">
        <is>
          <t>명곡리</t>
        </is>
      </c>
      <c r="H9157" s="3" t="inlineStr">
        <is>
          <t>계획관리지역</t>
        </is>
      </c>
      <c r="I9157" s="3" t="inlineStr">
        <is>
          <t>답</t>
        </is>
      </c>
      <c r="J9157" s="3" t="inlineStr">
        <is>
          <t>유구읍</t>
        </is>
      </c>
    </row>
    <row r="9158">
      <c r="A9158" s="3" t="n">
        <v>2023</v>
      </c>
      <c r="B9158" s="4" t="n">
        <v>3600</v>
      </c>
      <c r="C9158" s="4" t="n">
        <v>504</v>
      </c>
      <c r="D9158" s="4" t="n">
        <v>152.46</v>
      </c>
      <c r="E9158" s="5" t="n">
        <v>23.6</v>
      </c>
      <c r="F9158" s="3" t="inlineStr">
        <is>
          <t>유구읍</t>
        </is>
      </c>
      <c r="G9158" s="3" t="inlineStr">
        <is>
          <t>녹천리</t>
        </is>
      </c>
      <c r="H9158" s="3" t="inlineStr">
        <is>
          <t>준공업지역</t>
        </is>
      </c>
      <c r="I9158" s="3" t="inlineStr">
        <is>
          <t>유지</t>
        </is>
      </c>
      <c r="J9158" s="3" t="inlineStr">
        <is>
          <t>유구읍</t>
        </is>
      </c>
    </row>
    <row r="9159">
      <c r="A9159" s="3" t="n">
        <v>2023</v>
      </c>
      <c r="B9159" s="4" t="n">
        <v>1100</v>
      </c>
      <c r="C9159" s="4" t="n">
        <v>310</v>
      </c>
      <c r="D9159" s="4" t="n">
        <v>93.77499999999999</v>
      </c>
      <c r="E9159" s="5" t="n">
        <v>11.7</v>
      </c>
      <c r="F9159" s="3" t="inlineStr">
        <is>
          <t>유구읍</t>
        </is>
      </c>
      <c r="G9159" s="3" t="inlineStr">
        <is>
          <t>신달리</t>
        </is>
      </c>
      <c r="H9159" s="3" t="inlineStr">
        <is>
          <t>계획관리지역</t>
        </is>
      </c>
      <c r="I9159" s="3" t="inlineStr">
        <is>
          <t>전</t>
        </is>
      </c>
      <c r="J9159" s="3" t="inlineStr">
        <is>
          <t>유구읍</t>
        </is>
      </c>
    </row>
    <row r="9160">
      <c r="A9160" s="3" t="n">
        <v>2023</v>
      </c>
      <c r="B9160" s="4" t="n">
        <v>7320</v>
      </c>
      <c r="C9160" s="4" t="n">
        <v>626</v>
      </c>
      <c r="D9160" s="4" t="n">
        <v>189.365</v>
      </c>
      <c r="E9160" s="5" t="n">
        <v>38.7</v>
      </c>
      <c r="F9160" s="3" t="inlineStr">
        <is>
          <t>유구읍</t>
        </is>
      </c>
      <c r="G9160" s="3" t="inlineStr">
        <is>
          <t>구계리</t>
        </is>
      </c>
      <c r="H9160" s="3" t="inlineStr">
        <is>
          <t>계획관리지역</t>
        </is>
      </c>
      <c r="I9160" s="3" t="inlineStr">
        <is>
          <t>전</t>
        </is>
      </c>
      <c r="J9160" s="3" t="inlineStr">
        <is>
          <t>유구읍</t>
        </is>
      </c>
    </row>
    <row r="9161">
      <c r="A9161" s="3" t="n">
        <v>2023</v>
      </c>
      <c r="B9161" s="4" t="n">
        <v>6330</v>
      </c>
      <c r="C9161" s="4" t="n">
        <v>1030</v>
      </c>
      <c r="D9161" s="4" t="n">
        <v>311.575</v>
      </c>
      <c r="E9161" s="5" t="n">
        <v>20.3</v>
      </c>
      <c r="F9161" s="3" t="inlineStr">
        <is>
          <t>유구읍</t>
        </is>
      </c>
      <c r="G9161" s="3" t="inlineStr">
        <is>
          <t>문금리</t>
        </is>
      </c>
      <c r="H9161" s="3" t="inlineStr">
        <is>
          <t>계획관리지역</t>
        </is>
      </c>
      <c r="I9161" s="3" t="inlineStr">
        <is>
          <t>전</t>
        </is>
      </c>
      <c r="J9161" s="3" t="inlineStr">
        <is>
          <t>유구읍</t>
        </is>
      </c>
    </row>
    <row r="9162">
      <c r="A9162" s="3" t="n">
        <v>2023</v>
      </c>
      <c r="B9162" s="4" t="n">
        <v>7700</v>
      </c>
      <c r="C9162" s="4" t="n">
        <v>1716</v>
      </c>
      <c r="D9162" s="4" t="n">
        <v>519.09</v>
      </c>
      <c r="E9162" s="5" t="n">
        <v>14.8</v>
      </c>
      <c r="F9162" s="3" t="inlineStr">
        <is>
          <t>유구읍</t>
        </is>
      </c>
      <c r="G9162" s="3" t="inlineStr">
        <is>
          <t>유구리</t>
        </is>
      </c>
      <c r="H9162" s="3" t="inlineStr">
        <is>
          <t>계획관리지역</t>
        </is>
      </c>
      <c r="I9162" s="3" t="inlineStr">
        <is>
          <t>답</t>
        </is>
      </c>
      <c r="J9162" s="3" t="inlineStr">
        <is>
          <t>유구읍</t>
        </is>
      </c>
    </row>
    <row r="9163">
      <c r="A9163" s="3" t="n">
        <v>2023</v>
      </c>
      <c r="B9163" s="4" t="n">
        <v>3161</v>
      </c>
      <c r="C9163" s="4" t="n">
        <v>361</v>
      </c>
      <c r="D9163" s="4" t="n">
        <v>109.2025</v>
      </c>
      <c r="E9163" s="5" t="n">
        <v>28.9</v>
      </c>
      <c r="F9163" s="3" t="inlineStr">
        <is>
          <t>유구읍</t>
        </is>
      </c>
      <c r="G9163" s="3" t="inlineStr">
        <is>
          <t>구계리</t>
        </is>
      </c>
      <c r="H9163" s="3" t="inlineStr">
        <is>
          <t>계획관리지역</t>
        </is>
      </c>
      <c r="I9163" s="3" t="inlineStr">
        <is>
          <t>전</t>
        </is>
      </c>
      <c r="J9163" s="3" t="inlineStr">
        <is>
          <t>유구읍</t>
        </is>
      </c>
    </row>
    <row r="9164">
      <c r="A9164" s="3" t="n">
        <v>2023</v>
      </c>
      <c r="B9164" s="4" t="n">
        <v>28143</v>
      </c>
      <c r="C9164" s="4" t="n">
        <v>3214</v>
      </c>
      <c r="D9164" s="4" t="n">
        <v>972.235</v>
      </c>
      <c r="E9164" s="5" t="n">
        <v>28.9</v>
      </c>
      <c r="F9164" s="3" t="inlineStr">
        <is>
          <t>유구읍</t>
        </is>
      </c>
      <c r="G9164" s="3" t="inlineStr">
        <is>
          <t>구계리</t>
        </is>
      </c>
      <c r="H9164" s="3" t="inlineStr">
        <is>
          <t>계획관리지역</t>
        </is>
      </c>
      <c r="I9164" s="3" t="inlineStr">
        <is>
          <t>전</t>
        </is>
      </c>
      <c r="J9164" s="3" t="inlineStr">
        <is>
          <t>유구읍</t>
        </is>
      </c>
    </row>
    <row r="9165">
      <c r="A9165" s="3" t="n">
        <v>2023</v>
      </c>
      <c r="B9165" s="4" t="n">
        <v>2000</v>
      </c>
      <c r="C9165" s="4" t="n">
        <v>228</v>
      </c>
      <c r="D9165" s="4" t="n">
        <v>68.97</v>
      </c>
      <c r="E9165" s="5" t="n">
        <v>29</v>
      </c>
      <c r="F9165" s="3" t="inlineStr">
        <is>
          <t>유구읍</t>
        </is>
      </c>
      <c r="G9165" s="3" t="inlineStr">
        <is>
          <t>신달리</t>
        </is>
      </c>
      <c r="H9165" s="3" t="inlineStr">
        <is>
          <t>계획관리지역</t>
        </is>
      </c>
      <c r="I9165" s="3" t="inlineStr">
        <is>
          <t>대</t>
        </is>
      </c>
      <c r="J9165" s="3" t="inlineStr">
        <is>
          <t>유구읍</t>
        </is>
      </c>
    </row>
    <row r="9166">
      <c r="A9166" s="3" t="n">
        <v>2024</v>
      </c>
      <c r="B9166" s="4" t="n">
        <v>2100</v>
      </c>
      <c r="C9166" s="4" t="n">
        <v>138</v>
      </c>
      <c r="D9166" s="4" t="n">
        <v>41.745</v>
      </c>
      <c r="E9166" s="5" t="n">
        <v>50.3</v>
      </c>
      <c r="F9166" s="3" t="inlineStr">
        <is>
          <t>유구읍</t>
        </is>
      </c>
      <c r="G9166" s="3" t="inlineStr">
        <is>
          <t>녹천리</t>
        </is>
      </c>
      <c r="H9166" s="3" t="inlineStr">
        <is>
          <t>준공업지역</t>
        </is>
      </c>
      <c r="I9166" s="3" t="inlineStr">
        <is>
          <t>전</t>
        </is>
      </c>
      <c r="J9166" s="3" t="inlineStr">
        <is>
          <t>유구읍</t>
        </is>
      </c>
    </row>
    <row r="9167">
      <c r="A9167" s="3" t="n">
        <v>2024</v>
      </c>
      <c r="B9167" s="4" t="n">
        <v>400</v>
      </c>
      <c r="C9167" s="4" t="n">
        <v>283</v>
      </c>
      <c r="D9167" s="4" t="n">
        <v>85.6075</v>
      </c>
      <c r="E9167" s="5" t="n">
        <v>4.7</v>
      </c>
      <c r="F9167" s="3" t="inlineStr">
        <is>
          <t>유구읍</t>
        </is>
      </c>
      <c r="G9167" s="3" t="inlineStr">
        <is>
          <t>추계리</t>
        </is>
      </c>
      <c r="H9167" s="3" t="inlineStr">
        <is>
          <t>기타</t>
        </is>
      </c>
      <c r="I9167" s="3" t="inlineStr">
        <is>
          <t>전</t>
        </is>
      </c>
      <c r="J9167" s="3" t="inlineStr">
        <is>
          <t>유구읍</t>
        </is>
      </c>
    </row>
    <row r="9168">
      <c r="A9168" s="3" t="n">
        <v>2024</v>
      </c>
      <c r="B9168" s="4" t="n">
        <v>300</v>
      </c>
      <c r="C9168" s="4" t="n">
        <v>213</v>
      </c>
      <c r="D9168" s="4" t="n">
        <v>64.4325</v>
      </c>
      <c r="E9168" s="5" t="n">
        <v>4.7</v>
      </c>
      <c r="F9168" s="3" t="inlineStr">
        <is>
          <t>유구읍</t>
        </is>
      </c>
      <c r="G9168" s="3" t="inlineStr">
        <is>
          <t>추계리</t>
        </is>
      </c>
      <c r="H9168" s="3" t="inlineStr">
        <is>
          <t>기타</t>
        </is>
      </c>
      <c r="I9168" s="3" t="inlineStr">
        <is>
          <t>전</t>
        </is>
      </c>
      <c r="J9168" s="3" t="inlineStr">
        <is>
          <t>유구읍</t>
        </is>
      </c>
    </row>
    <row r="9169">
      <c r="A9169" s="3" t="n">
        <v>2022</v>
      </c>
      <c r="B9169" s="4" t="n">
        <v>3200</v>
      </c>
      <c r="C9169" s="4" t="n">
        <v>337</v>
      </c>
      <c r="D9169" s="4" t="n">
        <v>101.9425</v>
      </c>
      <c r="E9169" s="5" t="n">
        <v>31.4</v>
      </c>
      <c r="F9169" s="3" t="inlineStr">
        <is>
          <t>유구읍</t>
        </is>
      </c>
      <c r="G9169" s="3" t="inlineStr">
        <is>
          <t>신달리</t>
        </is>
      </c>
      <c r="H9169" s="3" t="inlineStr">
        <is>
          <t>계획관리지역</t>
        </is>
      </c>
      <c r="I9169" s="3" t="inlineStr">
        <is>
          <t>대</t>
        </is>
      </c>
      <c r="J9169" s="3" t="inlineStr">
        <is>
          <t>유구읍</t>
        </is>
      </c>
    </row>
    <row r="9170">
      <c r="A9170" s="3" t="n">
        <v>2023</v>
      </c>
      <c r="B9170" s="4" t="n">
        <v>13300</v>
      </c>
      <c r="C9170" s="4" t="n">
        <v>2767</v>
      </c>
      <c r="D9170" s="4" t="n">
        <v>837.0174999999999</v>
      </c>
      <c r="E9170" s="5" t="n">
        <v>15.9</v>
      </c>
      <c r="F9170" s="3" t="inlineStr">
        <is>
          <t>유구읍</t>
        </is>
      </c>
      <c r="G9170" s="3" t="inlineStr">
        <is>
          <t>추계리</t>
        </is>
      </c>
      <c r="H9170" s="3" t="inlineStr">
        <is>
          <t>농림지역</t>
        </is>
      </c>
      <c r="I9170" s="3" t="inlineStr">
        <is>
          <t>답</t>
        </is>
      </c>
      <c r="J9170" s="3" t="inlineStr">
        <is>
          <t>유구읍</t>
        </is>
      </c>
    </row>
    <row r="9171">
      <c r="A9171" s="3" t="n">
        <v>2023</v>
      </c>
      <c r="B9171" s="4" t="n">
        <v>54500</v>
      </c>
      <c r="C9171" s="4" t="n">
        <v>3813</v>
      </c>
      <c r="D9171" s="4" t="n">
        <v>1153.4325</v>
      </c>
      <c r="E9171" s="5" t="n">
        <v>47.3</v>
      </c>
      <c r="F9171" s="3" t="inlineStr">
        <is>
          <t>유구읍</t>
        </is>
      </c>
      <c r="G9171" s="3" t="inlineStr">
        <is>
          <t>구계리</t>
        </is>
      </c>
      <c r="H9171" s="3" t="inlineStr">
        <is>
          <t>계획관리지역</t>
        </is>
      </c>
      <c r="I9171" s="3" t="inlineStr">
        <is>
          <t>답</t>
        </is>
      </c>
      <c r="J9171" s="3" t="inlineStr">
        <is>
          <t>유구읍</t>
        </is>
      </c>
    </row>
    <row r="9172">
      <c r="A9172" s="3" t="n">
        <v>2023</v>
      </c>
      <c r="B9172" s="4" t="n">
        <v>2700</v>
      </c>
      <c r="C9172" s="4" t="n">
        <v>1000</v>
      </c>
      <c r="D9172" s="4" t="n">
        <v>302.5</v>
      </c>
      <c r="E9172" s="5" t="n">
        <v>8.9</v>
      </c>
      <c r="F9172" s="3" t="inlineStr">
        <is>
          <t>유구읍</t>
        </is>
      </c>
      <c r="G9172" s="3" t="inlineStr">
        <is>
          <t>동해리</t>
        </is>
      </c>
      <c r="H9172" s="3" t="inlineStr">
        <is>
          <t>계획관리지역</t>
        </is>
      </c>
      <c r="I9172" s="3" t="inlineStr">
        <is>
          <t>답</t>
        </is>
      </c>
      <c r="J9172" s="3" t="inlineStr">
        <is>
          <t>유구읍</t>
        </is>
      </c>
    </row>
    <row r="9173">
      <c r="A9173" s="3" t="n">
        <v>2023</v>
      </c>
      <c r="B9173" s="4" t="n">
        <v>2850</v>
      </c>
      <c r="C9173" s="4" t="n">
        <v>206</v>
      </c>
      <c r="D9173" s="4" t="n">
        <v>62.315</v>
      </c>
      <c r="E9173" s="5" t="n">
        <v>45.7</v>
      </c>
      <c r="F9173" s="3" t="inlineStr">
        <is>
          <t>유구읍</t>
        </is>
      </c>
      <c r="G9173" s="3" t="inlineStr">
        <is>
          <t>석남리</t>
        </is>
      </c>
      <c r="H9173" s="3" t="inlineStr">
        <is>
          <t>준주거지역</t>
        </is>
      </c>
      <c r="I9173" s="3" t="inlineStr">
        <is>
          <t>답</t>
        </is>
      </c>
      <c r="J9173" s="3" t="inlineStr">
        <is>
          <t>유구읍</t>
        </is>
      </c>
    </row>
    <row r="9174">
      <c r="A9174" s="3" t="n">
        <v>2023</v>
      </c>
      <c r="B9174" s="4" t="n">
        <v>25620</v>
      </c>
      <c r="C9174" s="4" t="n">
        <v>13234</v>
      </c>
      <c r="D9174" s="4" t="n">
        <v>4003.285</v>
      </c>
      <c r="E9174" s="5" t="n">
        <v>6.4</v>
      </c>
      <c r="F9174" s="3" t="inlineStr">
        <is>
          <t>유구읍</t>
        </is>
      </c>
      <c r="G9174" s="3" t="inlineStr">
        <is>
          <t>유구리</t>
        </is>
      </c>
      <c r="H9174" s="3" t="inlineStr">
        <is>
          <t>계획관리지역</t>
        </is>
      </c>
      <c r="I9174" s="3" t="inlineStr">
        <is>
          <t>임야</t>
        </is>
      </c>
      <c r="J9174" s="3" t="inlineStr">
        <is>
          <t>유구읍</t>
        </is>
      </c>
    </row>
    <row r="9175">
      <c r="A9175" s="3" t="n">
        <v>2023</v>
      </c>
      <c r="B9175" s="4" t="n">
        <v>2380</v>
      </c>
      <c r="C9175" s="4" t="n">
        <v>1240</v>
      </c>
      <c r="D9175" s="4" t="n">
        <v>375.1</v>
      </c>
      <c r="E9175" s="5" t="n">
        <v>6.3</v>
      </c>
      <c r="F9175" s="3" t="inlineStr">
        <is>
          <t>유구읍</t>
        </is>
      </c>
      <c r="G9175" s="3" t="inlineStr">
        <is>
          <t>유구리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유구읍</t>
        </is>
      </c>
    </row>
    <row r="9176">
      <c r="A9176" s="3" t="n">
        <v>2025</v>
      </c>
      <c r="B9176" s="4" t="n">
        <v>4629</v>
      </c>
      <c r="C9176" s="4" t="n">
        <v>4215</v>
      </c>
      <c r="D9176" s="4" t="n">
        <v>1275.0375</v>
      </c>
      <c r="E9176" s="5" t="n">
        <v>3.6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2022</v>
      </c>
      <c r="B9177" s="4" t="n">
        <v>16060</v>
      </c>
      <c r="C9177" s="4" t="n">
        <v>4355</v>
      </c>
      <c r="D9177" s="4" t="n">
        <v>1317.3875</v>
      </c>
      <c r="E9177" s="5" t="n">
        <v>12.2</v>
      </c>
      <c r="F9177" s="3" t="inlineStr">
        <is>
          <t>유구읍</t>
        </is>
      </c>
      <c r="G9177" s="3" t="inlineStr">
        <is>
          <t>신영리</t>
        </is>
      </c>
      <c r="H9177" s="3" t="inlineStr">
        <is>
          <t>농림지역</t>
        </is>
      </c>
      <c r="I9177" s="3" t="inlineStr">
        <is>
          <t>답</t>
        </is>
      </c>
      <c r="J9177" s="3" t="inlineStr">
        <is>
          <t>유구읍</t>
        </is>
      </c>
    </row>
    <row r="9178">
      <c r="A9178" s="3" t="n">
        <v>2022</v>
      </c>
      <c r="B9178" s="4" t="n">
        <v>875</v>
      </c>
      <c r="C9178" s="4" t="n">
        <v>417</v>
      </c>
      <c r="D9178" s="4" t="n">
        <v>126.1425</v>
      </c>
      <c r="E9178" s="5" t="n">
        <v>6.9</v>
      </c>
      <c r="F9178" s="3" t="inlineStr">
        <is>
          <t>유구읍</t>
        </is>
      </c>
      <c r="G9178" s="3" t="inlineStr">
        <is>
          <t>탑곡리</t>
        </is>
      </c>
      <c r="H9178" s="3" t="inlineStr">
        <is>
          <t>계획관리지역</t>
        </is>
      </c>
      <c r="I9178" s="3" t="inlineStr">
        <is>
          <t>임야</t>
        </is>
      </c>
      <c r="J9178" s="3" t="inlineStr">
        <is>
          <t>유구읍</t>
        </is>
      </c>
    </row>
    <row r="9179">
      <c r="A9179" s="3" t="n">
        <v>2022</v>
      </c>
      <c r="B9179" s="4" t="n">
        <v>1490</v>
      </c>
      <c r="C9179" s="4" t="n">
        <v>726</v>
      </c>
      <c r="D9179" s="4" t="n">
        <v>219.615</v>
      </c>
      <c r="E9179" s="5" t="n">
        <v>6.8</v>
      </c>
      <c r="F9179" s="3" t="inlineStr">
        <is>
          <t>유구읍</t>
        </is>
      </c>
      <c r="G9179" s="3" t="inlineStr">
        <is>
          <t>탑곡리</t>
        </is>
      </c>
      <c r="H9179" s="3" t="inlineStr">
        <is>
          <t>계획관리지역</t>
        </is>
      </c>
      <c r="I9179" s="3" t="inlineStr">
        <is>
          <t>전</t>
        </is>
      </c>
      <c r="J9179" s="3" t="inlineStr">
        <is>
          <t>유구읍</t>
        </is>
      </c>
    </row>
    <row r="9180">
      <c r="A9180" s="3" t="n">
        <v>2022</v>
      </c>
      <c r="B9180" s="4" t="n">
        <v>1450</v>
      </c>
      <c r="C9180" s="4" t="n">
        <v>1210</v>
      </c>
      <c r="D9180" s="4" t="n">
        <v>366.025</v>
      </c>
      <c r="E9180" s="5" t="n">
        <v>4</v>
      </c>
      <c r="F9180" s="3" t="inlineStr">
        <is>
          <t>유구읍</t>
        </is>
      </c>
      <c r="G9180" s="3" t="inlineStr">
        <is>
          <t>세동리</t>
        </is>
      </c>
      <c r="H9180" s="3" t="inlineStr">
        <is>
          <t>생산관리지역</t>
        </is>
      </c>
      <c r="I9180" s="3" t="inlineStr">
        <is>
          <t>전</t>
        </is>
      </c>
      <c r="J9180" s="3" t="inlineStr">
        <is>
          <t>유구읍</t>
        </is>
      </c>
    </row>
    <row r="9181">
      <c r="A9181" s="3" t="n">
        <v>2022</v>
      </c>
      <c r="B9181" s="4" t="n">
        <v>6500</v>
      </c>
      <c r="C9181" s="4" t="n">
        <v>1675</v>
      </c>
      <c r="D9181" s="4" t="n">
        <v>506.6875</v>
      </c>
      <c r="E9181" s="5" t="n">
        <v>12.8</v>
      </c>
      <c r="F9181" s="3" t="inlineStr">
        <is>
          <t>유구읍</t>
        </is>
      </c>
      <c r="G9181" s="3" t="inlineStr">
        <is>
          <t>추계리</t>
        </is>
      </c>
      <c r="H9181" s="3" t="inlineStr">
        <is>
          <t>농림지역</t>
        </is>
      </c>
      <c r="I9181" s="3" t="inlineStr">
        <is>
          <t>답</t>
        </is>
      </c>
      <c r="J9181" s="3" t="inlineStr">
        <is>
          <t>유구읍</t>
        </is>
      </c>
    </row>
    <row r="9182">
      <c r="A9182" s="3" t="n">
        <v>2022</v>
      </c>
      <c r="B9182" s="4" t="n">
        <v>1278</v>
      </c>
      <c r="C9182" s="4" t="n">
        <v>234</v>
      </c>
      <c r="D9182" s="4" t="n">
        <v>70.785</v>
      </c>
      <c r="E9182" s="5" t="n">
        <v>18.1</v>
      </c>
      <c r="F9182" s="3" t="inlineStr">
        <is>
          <t>유구읍</t>
        </is>
      </c>
      <c r="G9182" s="3" t="inlineStr">
        <is>
          <t>녹천리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유구읍</t>
        </is>
      </c>
    </row>
    <row r="9183">
      <c r="A9183" s="3" t="n">
        <v>2022</v>
      </c>
      <c r="B9183" s="4" t="n">
        <v>1380</v>
      </c>
      <c r="C9183" s="4" t="n">
        <v>152</v>
      </c>
      <c r="D9183" s="4" t="n">
        <v>45.98</v>
      </c>
      <c r="E9183" s="5" t="n">
        <v>30</v>
      </c>
      <c r="F9183" s="3" t="inlineStr">
        <is>
          <t>유구읍</t>
        </is>
      </c>
      <c r="G9183" s="3" t="inlineStr">
        <is>
          <t>동해리</t>
        </is>
      </c>
      <c r="H9183" s="3" t="inlineStr">
        <is>
          <t>계획관리지역</t>
        </is>
      </c>
      <c r="I9183" s="3" t="inlineStr">
        <is>
          <t>도로</t>
        </is>
      </c>
      <c r="J9183" s="3" t="inlineStr">
        <is>
          <t>유구읍</t>
        </is>
      </c>
    </row>
    <row r="9184">
      <c r="A9184" s="3" t="n">
        <v>2022</v>
      </c>
      <c r="B9184" s="4" t="n">
        <v>200</v>
      </c>
      <c r="C9184" s="4" t="n">
        <v>301</v>
      </c>
      <c r="D9184" s="4" t="n">
        <v>91.05249999999999</v>
      </c>
      <c r="E9184" s="5" t="n">
        <v>2.2</v>
      </c>
      <c r="F9184" s="3" t="inlineStr">
        <is>
          <t>유구읍</t>
        </is>
      </c>
      <c r="G9184" s="3" t="inlineStr">
        <is>
          <t>녹천리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유구읍</t>
        </is>
      </c>
    </row>
    <row r="9185">
      <c r="A9185" s="3" t="n">
        <v>2022</v>
      </c>
      <c r="B9185" s="4" t="n">
        <v>3</v>
      </c>
      <c r="C9185" s="4" t="n">
        <v>1</v>
      </c>
      <c r="D9185" s="4" t="n">
        <v>0.3025</v>
      </c>
      <c r="E9185" s="5" t="n">
        <v>9.9</v>
      </c>
      <c r="F9185" s="3" t="inlineStr">
        <is>
          <t>유구읍</t>
        </is>
      </c>
      <c r="G9185" s="3" t="inlineStr">
        <is>
          <t>탑곡리</t>
        </is>
      </c>
      <c r="H9185" s="3" t="inlineStr">
        <is>
          <t>계획관리지역</t>
        </is>
      </c>
      <c r="I9185" s="3" t="inlineStr">
        <is>
          <t>답</t>
        </is>
      </c>
      <c r="J9185" s="3" t="inlineStr">
        <is>
          <t>유구읍</t>
        </is>
      </c>
    </row>
    <row r="9186">
      <c r="A9186" s="3" t="n">
        <v>2022</v>
      </c>
      <c r="B9186" s="4" t="n">
        <v>1600</v>
      </c>
      <c r="C9186" s="4" t="n">
        <v>734</v>
      </c>
      <c r="D9186" s="4" t="n">
        <v>222.035</v>
      </c>
      <c r="E9186" s="5" t="n">
        <v>7.2</v>
      </c>
      <c r="F9186" s="3" t="inlineStr">
        <is>
          <t>유구읍</t>
        </is>
      </c>
      <c r="G9186" s="3" t="inlineStr">
        <is>
          <t>탑곡리</t>
        </is>
      </c>
      <c r="H9186" s="3" t="inlineStr">
        <is>
          <t>계획관리지역</t>
        </is>
      </c>
      <c r="I9186" s="3" t="inlineStr">
        <is>
          <t>전</t>
        </is>
      </c>
      <c r="J9186" s="3" t="inlineStr">
        <is>
          <t>유구읍</t>
        </is>
      </c>
    </row>
    <row r="9187">
      <c r="A9187" s="3" t="n">
        <v>2022</v>
      </c>
      <c r="B9187" s="4" t="n">
        <v>200</v>
      </c>
      <c r="C9187" s="4" t="n">
        <v>102</v>
      </c>
      <c r="D9187" s="4" t="n">
        <v>30.855</v>
      </c>
      <c r="E9187" s="5" t="n">
        <v>6.5</v>
      </c>
      <c r="F9187" s="3" t="inlineStr">
        <is>
          <t>유구읍</t>
        </is>
      </c>
      <c r="G9187" s="3" t="inlineStr">
        <is>
          <t>탑곡리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유구읍</t>
        </is>
      </c>
    </row>
    <row r="9188">
      <c r="A9188" s="3" t="n">
        <v>2022</v>
      </c>
      <c r="B9188" s="4" t="n">
        <v>700</v>
      </c>
      <c r="C9188" s="4" t="n">
        <v>323</v>
      </c>
      <c r="D9188" s="4" t="n">
        <v>97.7075</v>
      </c>
      <c r="E9188" s="5" t="n">
        <v>7.2</v>
      </c>
      <c r="F9188" s="3" t="inlineStr">
        <is>
          <t>유구읍</t>
        </is>
      </c>
      <c r="G9188" s="3" t="inlineStr">
        <is>
          <t>탑곡리</t>
        </is>
      </c>
      <c r="H9188" s="3" t="inlineStr">
        <is>
          <t>계획관리지역</t>
        </is>
      </c>
      <c r="I9188" s="3" t="inlineStr">
        <is>
          <t>답</t>
        </is>
      </c>
      <c r="J9188" s="3" t="inlineStr">
        <is>
          <t>유구읍</t>
        </is>
      </c>
    </row>
    <row r="9189">
      <c r="A9189" s="3" t="n">
        <v>2022</v>
      </c>
      <c r="B9189" s="4" t="n">
        <v>6300</v>
      </c>
      <c r="C9189" s="4" t="n">
        <v>662</v>
      </c>
      <c r="D9189" s="4" t="n">
        <v>200.255</v>
      </c>
      <c r="E9189" s="5" t="n">
        <v>31.5</v>
      </c>
      <c r="F9189" s="3" t="inlineStr">
        <is>
          <t>유구읍</t>
        </is>
      </c>
      <c r="G9189" s="3" t="inlineStr">
        <is>
          <t>백교리</t>
        </is>
      </c>
      <c r="H9189" s="3" t="inlineStr">
        <is>
          <t>자연녹지지역</t>
        </is>
      </c>
      <c r="I9189" s="3" t="inlineStr">
        <is>
          <t>임야</t>
        </is>
      </c>
      <c r="J9189" s="3" t="inlineStr">
        <is>
          <t>유구읍</t>
        </is>
      </c>
    </row>
    <row r="9190">
      <c r="A9190" s="3" t="n">
        <v>2022</v>
      </c>
      <c r="B9190" s="4" t="n">
        <v>12600</v>
      </c>
      <c r="C9190" s="4" t="n">
        <v>1193</v>
      </c>
      <c r="D9190" s="4" t="n">
        <v>360.8825</v>
      </c>
      <c r="E9190" s="5" t="n">
        <v>34.9</v>
      </c>
      <c r="F9190" s="3" t="inlineStr">
        <is>
          <t>유구읍</t>
        </is>
      </c>
      <c r="G9190" s="3" t="inlineStr">
        <is>
          <t>녹천리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유구읍</t>
        </is>
      </c>
    </row>
    <row r="9191">
      <c r="A9191" s="3" t="n">
        <v>2022</v>
      </c>
      <c r="B9191" s="4" t="n">
        <v>13830</v>
      </c>
      <c r="C9191" s="4" t="n">
        <v>499</v>
      </c>
      <c r="D9191" s="4" t="n">
        <v>150.9475</v>
      </c>
      <c r="E9191" s="5" t="n">
        <v>91.59999999999999</v>
      </c>
      <c r="F9191" s="3" t="inlineStr">
        <is>
          <t>유구읍</t>
        </is>
      </c>
      <c r="G9191" s="3" t="inlineStr">
        <is>
          <t>유구리</t>
        </is>
      </c>
      <c r="H9191" s="3" t="inlineStr">
        <is>
          <t>자연녹지지역</t>
        </is>
      </c>
      <c r="I9191" s="3" t="inlineStr">
        <is>
          <t>잡종지</t>
        </is>
      </c>
      <c r="J9191" s="3" t="inlineStr">
        <is>
          <t>유구읍</t>
        </is>
      </c>
    </row>
    <row r="9192">
      <c r="A9192" s="3" t="n">
        <v>2022</v>
      </c>
      <c r="B9192" s="4" t="n">
        <v>7000</v>
      </c>
      <c r="C9192" s="4" t="n">
        <v>3006</v>
      </c>
      <c r="D9192" s="4" t="n">
        <v>909.3149999999999</v>
      </c>
      <c r="E9192" s="5" t="n">
        <v>7.7</v>
      </c>
      <c r="F9192" s="3" t="inlineStr">
        <is>
          <t>유구읍</t>
        </is>
      </c>
      <c r="G9192" s="3" t="inlineStr">
        <is>
          <t>신달리</t>
        </is>
      </c>
      <c r="H9192" s="3" t="inlineStr">
        <is>
          <t>농림지역</t>
        </is>
      </c>
      <c r="I9192" s="3" t="inlineStr">
        <is>
          <t>답</t>
        </is>
      </c>
      <c r="J9192" s="3" t="inlineStr">
        <is>
          <t>유구읍</t>
        </is>
      </c>
    </row>
    <row r="9193">
      <c r="A9193" s="3" t="n">
        <v>2023</v>
      </c>
      <c r="B9193" s="4" t="n">
        <v>899</v>
      </c>
      <c r="C9193" s="4" t="n">
        <v>310</v>
      </c>
      <c r="D9193" s="4" t="n">
        <v>93.77499999999999</v>
      </c>
      <c r="E9193" s="5" t="n">
        <v>9.6</v>
      </c>
      <c r="F9193" s="3" t="inlineStr">
        <is>
          <t>유구읍</t>
        </is>
      </c>
      <c r="G9193" s="3" t="inlineStr">
        <is>
          <t>유구리</t>
        </is>
      </c>
      <c r="H9193" s="3" t="inlineStr">
        <is>
          <t>계획관리지역</t>
        </is>
      </c>
      <c r="I9193" s="3" t="inlineStr">
        <is>
          <t>답</t>
        </is>
      </c>
      <c r="J9193" s="3" t="inlineStr">
        <is>
          <t>유구읍</t>
        </is>
      </c>
    </row>
    <row r="9194">
      <c r="A9194" s="3" t="n">
        <v>2023</v>
      </c>
      <c r="B9194" s="4" t="n">
        <v>7901</v>
      </c>
      <c r="C9194" s="4" t="n">
        <v>2194.6</v>
      </c>
      <c r="D9194" s="4" t="n">
        <v>663.8665</v>
      </c>
      <c r="E9194" s="5" t="n">
        <v>11.9</v>
      </c>
      <c r="F9194" s="3" t="inlineStr">
        <is>
          <t>유구읍</t>
        </is>
      </c>
      <c r="G9194" s="3" t="inlineStr">
        <is>
          <t>추계리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유구읍</t>
        </is>
      </c>
    </row>
    <row r="9195">
      <c r="A9195" s="3" t="n">
        <v>2023</v>
      </c>
      <c r="B9195" s="4" t="n">
        <v>200</v>
      </c>
      <c r="C9195" s="4" t="n">
        <v>208</v>
      </c>
      <c r="D9195" s="4" t="n">
        <v>62.92</v>
      </c>
      <c r="E9195" s="5" t="n">
        <v>3.2</v>
      </c>
      <c r="F9195" s="3" t="inlineStr">
        <is>
          <t>유구읍</t>
        </is>
      </c>
      <c r="G9195" s="3" t="inlineStr">
        <is>
          <t>노동리</t>
        </is>
      </c>
      <c r="H9195" s="3" t="inlineStr">
        <is>
          <t>계획관리지역</t>
        </is>
      </c>
      <c r="I9195" s="3" t="inlineStr">
        <is>
          <t>답</t>
        </is>
      </c>
      <c r="J9195" s="3" t="inlineStr">
        <is>
          <t>유구읍</t>
        </is>
      </c>
    </row>
    <row r="9196">
      <c r="A9196" s="3" t="n">
        <v>2023</v>
      </c>
      <c r="B9196" s="4" t="n">
        <v>1544</v>
      </c>
      <c r="C9196" s="4" t="n">
        <v>108</v>
      </c>
      <c r="D9196" s="4" t="n">
        <v>32.67</v>
      </c>
      <c r="E9196" s="5" t="n">
        <v>47.3</v>
      </c>
      <c r="F9196" s="3" t="inlineStr">
        <is>
          <t>유구읍</t>
        </is>
      </c>
      <c r="G9196" s="3" t="inlineStr">
        <is>
          <t>석남리</t>
        </is>
      </c>
      <c r="H9196" s="3" t="inlineStr">
        <is>
          <t>제2종일반주거지역</t>
        </is>
      </c>
      <c r="I9196" s="3" t="inlineStr">
        <is>
          <t>대</t>
        </is>
      </c>
      <c r="J9196" s="3" t="inlineStr">
        <is>
          <t>유구읍</t>
        </is>
      </c>
    </row>
    <row r="9197">
      <c r="A9197" s="3" t="n">
        <v>2023</v>
      </c>
      <c r="B9197" s="4" t="n">
        <v>343</v>
      </c>
      <c r="C9197" s="4" t="n">
        <v>24</v>
      </c>
      <c r="D9197" s="4" t="n">
        <v>7.26</v>
      </c>
      <c r="E9197" s="5" t="n">
        <v>47.2</v>
      </c>
      <c r="F9197" s="3" t="inlineStr">
        <is>
          <t>유구읍</t>
        </is>
      </c>
      <c r="G9197" s="3" t="inlineStr">
        <is>
          <t>석남리</t>
        </is>
      </c>
      <c r="H9197" s="3" t="inlineStr">
        <is>
          <t>제2종일반주거지역</t>
        </is>
      </c>
      <c r="I9197" s="3" t="inlineStr">
        <is>
          <t>대</t>
        </is>
      </c>
      <c r="J9197" s="3" t="inlineStr">
        <is>
          <t>유구읍</t>
        </is>
      </c>
    </row>
    <row r="9198">
      <c r="A9198" s="3" t="n">
        <v>2023</v>
      </c>
      <c r="B9198" s="4" t="n">
        <v>490</v>
      </c>
      <c r="C9198" s="4" t="n">
        <v>104</v>
      </c>
      <c r="D9198" s="4" t="n">
        <v>31.46</v>
      </c>
      <c r="E9198" s="5" t="n">
        <v>15.6</v>
      </c>
      <c r="F9198" s="3" t="inlineStr">
        <is>
          <t>유구읍</t>
        </is>
      </c>
      <c r="G9198" s="3" t="inlineStr">
        <is>
          <t>석남리</t>
        </is>
      </c>
      <c r="H9198" s="3" t="inlineStr">
        <is>
          <t>제2종일반주거지역</t>
        </is>
      </c>
      <c r="I9198" s="3" t="inlineStr">
        <is>
          <t>대</t>
        </is>
      </c>
      <c r="J9198" s="3" t="inlineStr">
        <is>
          <t>유구읍</t>
        </is>
      </c>
    </row>
    <row r="9199">
      <c r="A9199" s="3" t="n">
        <v>2023</v>
      </c>
      <c r="B9199" s="4" t="n">
        <v>57</v>
      </c>
      <c r="C9199" s="4" t="n">
        <v>12</v>
      </c>
      <c r="D9199" s="4" t="n">
        <v>3.63</v>
      </c>
      <c r="E9199" s="5" t="n">
        <v>15.7</v>
      </c>
      <c r="F9199" s="3" t="inlineStr">
        <is>
          <t>유구읍</t>
        </is>
      </c>
      <c r="G9199" s="3" t="inlineStr">
        <is>
          <t>석남리</t>
        </is>
      </c>
      <c r="H9199" s="3" t="inlineStr">
        <is>
          <t>제2종일반주거지역</t>
        </is>
      </c>
      <c r="I9199" s="3" t="inlineStr">
        <is>
          <t>대</t>
        </is>
      </c>
      <c r="J9199" s="3" t="inlineStr">
        <is>
          <t>유구읍</t>
        </is>
      </c>
    </row>
    <row r="9200">
      <c r="A9200" s="3" t="n">
        <v>2023</v>
      </c>
      <c r="B9200" s="4" t="n">
        <v>372</v>
      </c>
      <c r="C9200" s="4" t="n">
        <v>79</v>
      </c>
      <c r="D9200" s="4" t="n">
        <v>23.8975</v>
      </c>
      <c r="E9200" s="5" t="n">
        <v>15.6</v>
      </c>
      <c r="F9200" s="3" t="inlineStr">
        <is>
          <t>유구읍</t>
        </is>
      </c>
      <c r="G9200" s="3" t="inlineStr">
        <is>
          <t>석남리</t>
        </is>
      </c>
      <c r="H9200" s="3" t="inlineStr">
        <is>
          <t>제2종일반주거지역</t>
        </is>
      </c>
      <c r="I9200" s="3" t="inlineStr">
        <is>
          <t>대</t>
        </is>
      </c>
      <c r="J9200" s="3" t="inlineStr">
        <is>
          <t>유구읍</t>
        </is>
      </c>
    </row>
    <row r="9201">
      <c r="A9201" s="3" t="n">
        <v>2023</v>
      </c>
      <c r="B9201" s="4" t="n">
        <v>758</v>
      </c>
      <c r="C9201" s="4" t="n">
        <v>161</v>
      </c>
      <c r="D9201" s="4" t="n">
        <v>48.7025</v>
      </c>
      <c r="E9201" s="5" t="n">
        <v>15.6</v>
      </c>
      <c r="F9201" s="3" t="inlineStr">
        <is>
          <t>유구읍</t>
        </is>
      </c>
      <c r="G9201" s="3" t="inlineStr">
        <is>
          <t>석남리</t>
        </is>
      </c>
      <c r="H9201" s="3" t="inlineStr">
        <is>
          <t>제2종일반주거지역</t>
        </is>
      </c>
      <c r="I9201" s="3" t="inlineStr">
        <is>
          <t>대</t>
        </is>
      </c>
      <c r="J9201" s="3" t="inlineStr">
        <is>
          <t>유구읍</t>
        </is>
      </c>
    </row>
    <row r="9202">
      <c r="A9202" s="3" t="n">
        <v>2023</v>
      </c>
      <c r="B9202" s="4" t="n">
        <v>6000</v>
      </c>
      <c r="C9202" s="4" t="n">
        <v>173</v>
      </c>
      <c r="D9202" s="4" t="n">
        <v>52.3325</v>
      </c>
      <c r="E9202" s="5" t="n">
        <v>114.7</v>
      </c>
      <c r="F9202" s="3" t="inlineStr">
        <is>
          <t>유구읍</t>
        </is>
      </c>
      <c r="G9202" s="3" t="inlineStr">
        <is>
          <t>석남리</t>
        </is>
      </c>
      <c r="H9202" s="3" t="inlineStr">
        <is>
          <t>제2종일반주거지역</t>
        </is>
      </c>
      <c r="I9202" s="3" t="inlineStr">
        <is>
          <t>대</t>
        </is>
      </c>
      <c r="J9202" s="3" t="inlineStr">
        <is>
          <t>유구읍</t>
        </is>
      </c>
    </row>
    <row r="9203">
      <c r="A9203" s="3" t="n">
        <v>2023</v>
      </c>
      <c r="B9203" s="4" t="n">
        <v>4000</v>
      </c>
      <c r="C9203" s="4" t="n">
        <v>547</v>
      </c>
      <c r="D9203" s="4" t="n">
        <v>165.4675</v>
      </c>
      <c r="E9203" s="5" t="n">
        <v>24.2</v>
      </c>
      <c r="F9203" s="3" t="inlineStr">
        <is>
          <t>유구읍</t>
        </is>
      </c>
      <c r="G9203" s="3" t="inlineStr">
        <is>
          <t>녹천리</t>
        </is>
      </c>
      <c r="H9203" s="3" t="inlineStr">
        <is>
          <t>계획관리지역</t>
        </is>
      </c>
      <c r="I9203" s="3" t="inlineStr">
        <is>
          <t>주차장</t>
        </is>
      </c>
      <c r="J9203" s="3" t="inlineStr">
        <is>
          <t>유구읍</t>
        </is>
      </c>
    </row>
    <row r="9204">
      <c r="A9204" s="3" t="n">
        <v>2023</v>
      </c>
      <c r="B9204" s="4" t="n">
        <v>700</v>
      </c>
      <c r="C9204" s="4" t="n">
        <v>120</v>
      </c>
      <c r="D9204" s="4" t="n">
        <v>36.3</v>
      </c>
      <c r="E9204" s="5" t="n">
        <v>19.3</v>
      </c>
      <c r="F9204" s="3" t="inlineStr">
        <is>
          <t>유구읍</t>
        </is>
      </c>
      <c r="G9204" s="3" t="inlineStr">
        <is>
          <t>녹천리</t>
        </is>
      </c>
      <c r="H9204" s="3" t="inlineStr">
        <is>
          <t>계획관리지역</t>
        </is>
      </c>
      <c r="I9204" s="3" t="inlineStr">
        <is>
          <t>도로</t>
        </is>
      </c>
      <c r="J9204" s="3" t="inlineStr">
        <is>
          <t>유구읍</t>
        </is>
      </c>
    </row>
    <row r="9205">
      <c r="A9205" s="3" t="n">
        <v>2023</v>
      </c>
      <c r="B9205" s="4" t="n">
        <v>990</v>
      </c>
      <c r="C9205" s="4" t="n">
        <v>109</v>
      </c>
      <c r="D9205" s="4" t="n">
        <v>32.9725</v>
      </c>
      <c r="E9205" s="5" t="n">
        <v>30</v>
      </c>
      <c r="F9205" s="3" t="inlineStr">
        <is>
          <t>유구읍</t>
        </is>
      </c>
      <c r="G9205" s="3" t="inlineStr">
        <is>
          <t>문금리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유구읍</t>
        </is>
      </c>
    </row>
    <row r="9206">
      <c r="A9206" s="3" t="n">
        <v>2023</v>
      </c>
      <c r="B9206" s="4" t="n">
        <v>11402</v>
      </c>
      <c r="C9206" s="4" t="n">
        <v>1646</v>
      </c>
      <c r="D9206" s="4" t="n">
        <v>497.915</v>
      </c>
      <c r="E9206" s="5" t="n">
        <v>22.9</v>
      </c>
      <c r="F9206" s="3" t="inlineStr">
        <is>
          <t>유구읍</t>
        </is>
      </c>
      <c r="G9206" s="3" t="inlineStr">
        <is>
          <t>만천리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유구읍</t>
        </is>
      </c>
    </row>
    <row r="9207">
      <c r="A9207" s="3" t="n">
        <v>2023</v>
      </c>
      <c r="B9207" s="4" t="n">
        <v>3913</v>
      </c>
      <c r="C9207" s="4" t="n">
        <v>565</v>
      </c>
      <c r="D9207" s="4" t="n">
        <v>170.9125</v>
      </c>
      <c r="E9207" s="5" t="n">
        <v>22.9</v>
      </c>
      <c r="F9207" s="3" t="inlineStr">
        <is>
          <t>유구읍</t>
        </is>
      </c>
      <c r="G9207" s="3" t="inlineStr">
        <is>
          <t>만천리</t>
        </is>
      </c>
      <c r="H9207" s="3" t="inlineStr">
        <is>
          <t>계획관리지역</t>
        </is>
      </c>
      <c r="I9207" s="3" t="inlineStr">
        <is>
          <t>전</t>
        </is>
      </c>
      <c r="J9207" s="3" t="inlineStr">
        <is>
          <t>유구읍</t>
        </is>
      </c>
    </row>
    <row r="9208">
      <c r="A9208" s="3" t="n">
        <v>2023</v>
      </c>
      <c r="B9208" s="4" t="n">
        <v>803</v>
      </c>
      <c r="C9208" s="4" t="n">
        <v>116</v>
      </c>
      <c r="D9208" s="4" t="n">
        <v>35.09</v>
      </c>
      <c r="E9208" s="5" t="n">
        <v>22.9</v>
      </c>
      <c r="F9208" s="3" t="inlineStr">
        <is>
          <t>유구읍</t>
        </is>
      </c>
      <c r="G9208" s="3" t="inlineStr">
        <is>
          <t>만천리</t>
        </is>
      </c>
      <c r="H9208" s="3" t="inlineStr">
        <is>
          <t>계획관리지역</t>
        </is>
      </c>
      <c r="I9208" s="3" t="inlineStr">
        <is>
          <t>전</t>
        </is>
      </c>
      <c r="J9208" s="3" t="inlineStr">
        <is>
          <t>유구읍</t>
        </is>
      </c>
    </row>
    <row r="9209">
      <c r="A9209" s="3" t="n">
        <v>2023</v>
      </c>
      <c r="B9209" s="4" t="n">
        <v>1123</v>
      </c>
      <c r="C9209" s="4" t="n">
        <v>162</v>
      </c>
      <c r="D9209" s="4" t="n">
        <v>49.005</v>
      </c>
      <c r="E9209" s="5" t="n">
        <v>22.9</v>
      </c>
      <c r="F9209" s="3" t="inlineStr">
        <is>
          <t>유구읍</t>
        </is>
      </c>
      <c r="G9209" s="3" t="inlineStr">
        <is>
          <t>만천리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유구읍</t>
        </is>
      </c>
    </row>
    <row r="9210">
      <c r="A9210" s="3" t="n">
        <v>2022</v>
      </c>
      <c r="B9210" s="4" t="n">
        <v>12000</v>
      </c>
      <c r="C9210" s="4" t="n">
        <v>497</v>
      </c>
      <c r="D9210" s="4" t="n">
        <v>150.3425</v>
      </c>
      <c r="E9210" s="5" t="n">
        <v>79.8</v>
      </c>
      <c r="F9210" s="3" t="inlineStr">
        <is>
          <t>유구읍</t>
        </is>
      </c>
      <c r="G9210" s="3" t="inlineStr">
        <is>
          <t>문금리</t>
        </is>
      </c>
      <c r="H9210" s="3" t="inlineStr">
        <is>
          <t>보전관리지역</t>
        </is>
      </c>
      <c r="I9210" s="3" t="inlineStr">
        <is>
          <t>전</t>
        </is>
      </c>
      <c r="J9210" s="3" t="inlineStr">
        <is>
          <t>유구읍</t>
        </is>
      </c>
    </row>
    <row r="9211">
      <c r="A9211" s="3" t="n">
        <v>2022</v>
      </c>
      <c r="B9211" s="4" t="n">
        <v>9968</v>
      </c>
      <c r="C9211" s="4" t="n">
        <v>1178</v>
      </c>
      <c r="D9211" s="4" t="n">
        <v>356.345</v>
      </c>
      <c r="E9211" s="5" t="n">
        <v>28</v>
      </c>
      <c r="F9211" s="3" t="inlineStr">
        <is>
          <t>유구읍</t>
        </is>
      </c>
      <c r="G9211" s="3" t="inlineStr">
        <is>
          <t>유구리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유구읍</t>
        </is>
      </c>
    </row>
    <row r="9212">
      <c r="A9212" s="3" t="n">
        <v>2022</v>
      </c>
      <c r="B9212" s="4" t="n">
        <v>15260</v>
      </c>
      <c r="C9212" s="4" t="n">
        <v>2294</v>
      </c>
      <c r="D9212" s="4" t="n">
        <v>693.9349999999999</v>
      </c>
      <c r="E9212" s="5" t="n">
        <v>22</v>
      </c>
      <c r="F9212" s="3" t="inlineStr">
        <is>
          <t>유구읍</t>
        </is>
      </c>
      <c r="G9212" s="3" t="inlineStr">
        <is>
          <t>동해리</t>
        </is>
      </c>
      <c r="H9212" s="3" t="inlineStr">
        <is>
          <t>계획관리지역</t>
        </is>
      </c>
      <c r="I9212" s="3" t="inlineStr">
        <is>
          <t>전</t>
        </is>
      </c>
      <c r="J9212" s="3" t="inlineStr">
        <is>
          <t>유구읍</t>
        </is>
      </c>
    </row>
    <row r="9213">
      <c r="A9213" s="3" t="n">
        <v>2022</v>
      </c>
      <c r="B9213" s="4" t="n">
        <v>580</v>
      </c>
      <c r="C9213" s="4" t="n">
        <v>193</v>
      </c>
      <c r="D9213" s="4" t="n">
        <v>58.3825</v>
      </c>
      <c r="E9213" s="5" t="n">
        <v>9.9</v>
      </c>
      <c r="F9213" s="3" t="inlineStr">
        <is>
          <t>유구읍</t>
        </is>
      </c>
      <c r="G9213" s="3" t="inlineStr">
        <is>
          <t>추계리</t>
        </is>
      </c>
      <c r="H9213" s="3" t="inlineStr">
        <is>
          <t>생산관리지역</t>
        </is>
      </c>
      <c r="I9213" s="3" t="inlineStr">
        <is>
          <t>답</t>
        </is>
      </c>
      <c r="J9213" s="3" t="inlineStr">
        <is>
          <t>유구읍</t>
        </is>
      </c>
    </row>
    <row r="9214">
      <c r="A9214" s="3" t="n">
        <v>2022</v>
      </c>
      <c r="B9214" s="4" t="n">
        <v>460</v>
      </c>
      <c r="C9214" s="4" t="n">
        <v>144</v>
      </c>
      <c r="D9214" s="4" t="n">
        <v>43.56</v>
      </c>
      <c r="E9214" s="5" t="n">
        <v>10.6</v>
      </c>
      <c r="F9214" s="3" t="inlineStr">
        <is>
          <t>유구읍</t>
        </is>
      </c>
      <c r="G9214" s="3" t="inlineStr">
        <is>
          <t>구계리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유구읍</t>
        </is>
      </c>
    </row>
    <row r="9215">
      <c r="A9215" s="3" t="n">
        <v>2022</v>
      </c>
      <c r="B9215" s="4" t="n">
        <v>160</v>
      </c>
      <c r="C9215" s="4" t="n">
        <v>49</v>
      </c>
      <c r="D9215" s="4" t="n">
        <v>14.8225</v>
      </c>
      <c r="E9215" s="5" t="n">
        <v>10.8</v>
      </c>
      <c r="F9215" s="3" t="inlineStr">
        <is>
          <t>유구읍</t>
        </is>
      </c>
      <c r="G9215" s="3" t="inlineStr">
        <is>
          <t>구계리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유구읍</t>
        </is>
      </c>
    </row>
    <row r="9216">
      <c r="A9216" s="3" t="n">
        <v>2022</v>
      </c>
      <c r="B9216" s="4" t="n">
        <v>11500</v>
      </c>
      <c r="C9216" s="4" t="n">
        <v>625</v>
      </c>
      <c r="D9216" s="4" t="n">
        <v>189.0625</v>
      </c>
      <c r="E9216" s="5" t="n">
        <v>60.8</v>
      </c>
      <c r="F9216" s="3" t="inlineStr">
        <is>
          <t>유구읍</t>
        </is>
      </c>
      <c r="G9216" s="3" t="inlineStr">
        <is>
          <t>석남리</t>
        </is>
      </c>
      <c r="H9216" s="3" t="inlineStr">
        <is>
          <t>자연녹지지역</t>
        </is>
      </c>
      <c r="I9216" s="3" t="inlineStr">
        <is>
          <t>답</t>
        </is>
      </c>
      <c r="J9216" s="3" t="inlineStr">
        <is>
          <t>유구읍</t>
        </is>
      </c>
    </row>
    <row r="9217">
      <c r="A9217" s="3" t="n">
        <v>2022</v>
      </c>
      <c r="B9217" s="4" t="n">
        <v>10000</v>
      </c>
      <c r="C9217" s="4" t="n">
        <v>1002</v>
      </c>
      <c r="D9217" s="4" t="n">
        <v>303.105</v>
      </c>
      <c r="E9217" s="5" t="n">
        <v>33</v>
      </c>
      <c r="F9217" s="3" t="inlineStr">
        <is>
          <t>유구읍</t>
        </is>
      </c>
      <c r="G9217" s="3" t="inlineStr">
        <is>
          <t>노동리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유구읍</t>
        </is>
      </c>
    </row>
    <row r="9218">
      <c r="A9218" s="3" t="n">
        <v>2022</v>
      </c>
      <c r="B9218" s="4" t="n">
        <v>11120</v>
      </c>
      <c r="C9218" s="4" t="n">
        <v>3342</v>
      </c>
      <c r="D9218" s="4" t="n">
        <v>1010.955</v>
      </c>
      <c r="E9218" s="5" t="n">
        <v>11</v>
      </c>
      <c r="F9218" s="3" t="inlineStr">
        <is>
          <t>유구읍</t>
        </is>
      </c>
      <c r="G9218" s="3" t="inlineStr">
        <is>
          <t>명곡리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유구읍</t>
        </is>
      </c>
    </row>
    <row r="9219">
      <c r="A9219" s="3" t="n">
        <v>2022</v>
      </c>
      <c r="B9219" s="4" t="n">
        <v>11220</v>
      </c>
      <c r="C9219" s="4" t="n">
        <v>1855</v>
      </c>
      <c r="D9219" s="4" t="n">
        <v>561.1374999999999</v>
      </c>
      <c r="E9219" s="5" t="n">
        <v>20</v>
      </c>
      <c r="F9219" s="3" t="inlineStr">
        <is>
          <t>유구읍</t>
        </is>
      </c>
      <c r="G9219" s="3" t="inlineStr">
        <is>
          <t>명곡리</t>
        </is>
      </c>
      <c r="H9219" s="3" t="inlineStr">
        <is>
          <t>계획관리지역</t>
        </is>
      </c>
      <c r="I9219" s="3" t="inlineStr">
        <is>
          <t>답</t>
        </is>
      </c>
      <c r="J9219" s="3" t="inlineStr">
        <is>
          <t>유구읍</t>
        </is>
      </c>
    </row>
    <row r="9220">
      <c r="A9220" s="3" t="n">
        <v>2022</v>
      </c>
      <c r="B9220" s="4" t="n">
        <v>9096</v>
      </c>
      <c r="C9220" s="4" t="n">
        <v>1503</v>
      </c>
      <c r="D9220" s="4" t="n">
        <v>454.6575</v>
      </c>
      <c r="E9220" s="5" t="n">
        <v>20</v>
      </c>
      <c r="F9220" s="3" t="inlineStr">
        <is>
          <t>유구읍</t>
        </is>
      </c>
      <c r="G9220" s="3" t="inlineStr">
        <is>
          <t>명곡리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유구읍</t>
        </is>
      </c>
    </row>
    <row r="9221">
      <c r="A9221" s="3" t="n">
        <v>2022</v>
      </c>
      <c r="B9221" s="4" t="n">
        <v>240</v>
      </c>
      <c r="C9221" s="4" t="n">
        <v>40</v>
      </c>
      <c r="D9221" s="4" t="n">
        <v>12.1</v>
      </c>
      <c r="E9221" s="5" t="n">
        <v>19.8</v>
      </c>
      <c r="F9221" s="3" t="inlineStr">
        <is>
          <t>유구읍</t>
        </is>
      </c>
      <c r="G9221" s="3" t="inlineStr">
        <is>
          <t>추계리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유구읍</t>
        </is>
      </c>
    </row>
    <row r="9222">
      <c r="A9222" s="3" t="n">
        <v>2023</v>
      </c>
      <c r="B9222" s="4" t="n">
        <v>4400</v>
      </c>
      <c r="C9222" s="4" t="n">
        <v>662</v>
      </c>
      <c r="D9222" s="4" t="n">
        <v>200.255</v>
      </c>
      <c r="E9222" s="5" t="n">
        <v>22</v>
      </c>
      <c r="F9222" s="3" t="inlineStr">
        <is>
          <t>유구읍</t>
        </is>
      </c>
      <c r="G9222" s="3" t="inlineStr">
        <is>
          <t>녹천리</t>
        </is>
      </c>
      <c r="H9222" s="3" t="inlineStr">
        <is>
          <t>계획관리지역</t>
        </is>
      </c>
      <c r="I9222" s="3" t="inlineStr">
        <is>
          <t>전</t>
        </is>
      </c>
      <c r="J9222" s="3" t="inlineStr">
        <is>
          <t>유구읍</t>
        </is>
      </c>
    </row>
    <row r="9223">
      <c r="A9223" s="3" t="n">
        <v>2023</v>
      </c>
      <c r="B9223" s="4" t="n">
        <v>3740</v>
      </c>
      <c r="C9223" s="4" t="n">
        <v>1124</v>
      </c>
      <c r="D9223" s="4" t="n">
        <v>340.01</v>
      </c>
      <c r="E9223" s="5" t="n">
        <v>11</v>
      </c>
      <c r="F9223" s="3" t="inlineStr">
        <is>
          <t>유구읍</t>
        </is>
      </c>
      <c r="G9223" s="3" t="inlineStr">
        <is>
          <t>만천리</t>
        </is>
      </c>
      <c r="H9223" s="3" t="inlineStr">
        <is>
          <t>농림지역</t>
        </is>
      </c>
      <c r="I9223" s="3" t="inlineStr">
        <is>
          <t>답</t>
        </is>
      </c>
      <c r="J9223" s="3" t="inlineStr">
        <is>
          <t>유구읍</t>
        </is>
      </c>
    </row>
    <row r="9224">
      <c r="A9224" s="3" t="n">
        <v>2023</v>
      </c>
      <c r="B9224" s="4" t="n">
        <v>13600</v>
      </c>
      <c r="C9224" s="4" t="n">
        <v>3040.4</v>
      </c>
      <c r="D9224" s="4" t="n">
        <v>919.721</v>
      </c>
      <c r="E9224" s="5" t="n">
        <v>14.8</v>
      </c>
      <c r="F9224" s="3" t="inlineStr">
        <is>
          <t>유구읍</t>
        </is>
      </c>
      <c r="G9224" s="3" t="inlineStr">
        <is>
          <t>추계리</t>
        </is>
      </c>
      <c r="H9224" s="3" t="inlineStr">
        <is>
          <t>농림지역</t>
        </is>
      </c>
      <c r="I9224" s="3" t="inlineStr">
        <is>
          <t>답</t>
        </is>
      </c>
      <c r="J9224" s="3" t="inlineStr">
        <is>
          <t>유구읍</t>
        </is>
      </c>
    </row>
    <row r="9225">
      <c r="A9225" s="3" t="n">
        <v>2023</v>
      </c>
      <c r="B9225" s="4" t="n">
        <v>13600</v>
      </c>
      <c r="C9225" s="4" t="n">
        <v>3040.4</v>
      </c>
      <c r="D9225" s="4" t="n">
        <v>919.721</v>
      </c>
      <c r="E9225" s="5" t="n">
        <v>14.8</v>
      </c>
      <c r="F9225" s="3" t="inlineStr">
        <is>
          <t>유구읍</t>
        </is>
      </c>
      <c r="G9225" s="3" t="inlineStr">
        <is>
          <t>추계리</t>
        </is>
      </c>
      <c r="H9225" s="3" t="inlineStr">
        <is>
          <t>농림지역</t>
        </is>
      </c>
      <c r="I9225" s="3" t="inlineStr">
        <is>
          <t>답</t>
        </is>
      </c>
      <c r="J9225" s="3" t="inlineStr">
        <is>
          <t>유구읍</t>
        </is>
      </c>
    </row>
    <row r="9226">
      <c r="A9226" s="3" t="n">
        <v>2023</v>
      </c>
      <c r="B9226" s="4" t="n">
        <v>1950</v>
      </c>
      <c r="C9226" s="4" t="n">
        <v>496</v>
      </c>
      <c r="D9226" s="4" t="n">
        <v>150.04</v>
      </c>
      <c r="E9226" s="5" t="n">
        <v>13</v>
      </c>
      <c r="F9226" s="3" t="inlineStr">
        <is>
          <t>유구읍</t>
        </is>
      </c>
      <c r="G9226" s="3" t="inlineStr">
        <is>
          <t>녹천리</t>
        </is>
      </c>
      <c r="H9226" s="3" t="inlineStr">
        <is>
          <t>계획관리지역</t>
        </is>
      </c>
      <c r="I9226" s="3" t="inlineStr">
        <is>
          <t>전</t>
        </is>
      </c>
      <c r="J9226" s="3" t="inlineStr">
        <is>
          <t>유구읍</t>
        </is>
      </c>
    </row>
    <row r="9227">
      <c r="A9227" s="3" t="n">
        <v>2023</v>
      </c>
      <c r="B9227" s="4" t="n">
        <v>1500</v>
      </c>
      <c r="C9227" s="4" t="n">
        <v>2136</v>
      </c>
      <c r="D9227" s="4" t="n">
        <v>646.14</v>
      </c>
      <c r="E9227" s="5" t="n">
        <v>2.3</v>
      </c>
      <c r="F9227" s="3" t="inlineStr">
        <is>
          <t>유구읍</t>
        </is>
      </c>
      <c r="G9227" s="3" t="inlineStr">
        <is>
          <t>덕곡리</t>
        </is>
      </c>
      <c r="H9227" s="3" t="inlineStr">
        <is>
          <t>계획관리지역</t>
        </is>
      </c>
      <c r="I9227" s="3" t="inlineStr">
        <is>
          <t>전</t>
        </is>
      </c>
      <c r="J9227" s="3" t="inlineStr">
        <is>
          <t>유구읍</t>
        </is>
      </c>
    </row>
    <row r="9228">
      <c r="A9228" s="3" t="n">
        <v>2023</v>
      </c>
      <c r="B9228" s="4" t="n">
        <v>498</v>
      </c>
      <c r="C9228" s="4" t="n">
        <v>638</v>
      </c>
      <c r="D9228" s="4" t="n">
        <v>192.995</v>
      </c>
      <c r="E9228" s="5" t="n">
        <v>2.6</v>
      </c>
      <c r="F9228" s="3" t="inlineStr">
        <is>
          <t>유구읍</t>
        </is>
      </c>
      <c r="G9228" s="3" t="inlineStr">
        <is>
          <t>노동리</t>
        </is>
      </c>
      <c r="H9228" s="3" t="inlineStr">
        <is>
          <t>계획관리지역</t>
        </is>
      </c>
      <c r="I9228" s="3" t="inlineStr">
        <is>
          <t>답</t>
        </is>
      </c>
      <c r="J9228" s="3" t="inlineStr">
        <is>
          <t>유구읍</t>
        </is>
      </c>
    </row>
    <row r="9229">
      <c r="A9229" s="3" t="n">
        <v>2023</v>
      </c>
      <c r="B9229" s="4" t="n">
        <v>774</v>
      </c>
      <c r="C9229" s="4" t="n">
        <v>993</v>
      </c>
      <c r="D9229" s="4" t="n">
        <v>300.3825</v>
      </c>
      <c r="E9229" s="5" t="n">
        <v>2.6</v>
      </c>
      <c r="F9229" s="3" t="inlineStr">
        <is>
          <t>유구읍</t>
        </is>
      </c>
      <c r="G9229" s="3" t="inlineStr">
        <is>
          <t>노동리</t>
        </is>
      </c>
      <c r="H9229" s="3" t="inlineStr">
        <is>
          <t>계획관리지역</t>
        </is>
      </c>
      <c r="I9229" s="3" t="inlineStr">
        <is>
          <t>답</t>
        </is>
      </c>
      <c r="J9229" s="3" t="inlineStr">
        <is>
          <t>유구읍</t>
        </is>
      </c>
    </row>
    <row r="9230">
      <c r="A9230" s="3" t="n">
        <v>2023</v>
      </c>
      <c r="B9230" s="4" t="n">
        <v>141</v>
      </c>
      <c r="C9230" s="4" t="n">
        <v>170</v>
      </c>
      <c r="D9230" s="4" t="n">
        <v>51.425</v>
      </c>
      <c r="E9230" s="5" t="n">
        <v>2.7</v>
      </c>
      <c r="F9230" s="3" t="inlineStr">
        <is>
          <t>유구읍</t>
        </is>
      </c>
      <c r="G9230" s="3" t="inlineStr">
        <is>
          <t>노동리</t>
        </is>
      </c>
      <c r="H9230" s="3" t="inlineStr">
        <is>
          <t>계획관리지역</t>
        </is>
      </c>
      <c r="I9230" s="3" t="inlineStr">
        <is>
          <t>답</t>
        </is>
      </c>
      <c r="J9230" s="3" t="inlineStr">
        <is>
          <t>유구읍</t>
        </is>
      </c>
    </row>
    <row r="9231">
      <c r="A9231" s="3" t="n">
        <v>2023</v>
      </c>
      <c r="B9231" s="4" t="n">
        <v>11</v>
      </c>
      <c r="C9231" s="4" t="n">
        <v>12</v>
      </c>
      <c r="D9231" s="4" t="n">
        <v>3.63</v>
      </c>
      <c r="E9231" s="5" t="n">
        <v>3</v>
      </c>
      <c r="F9231" s="3" t="inlineStr">
        <is>
          <t>유구읍</t>
        </is>
      </c>
      <c r="G9231" s="3" t="inlineStr">
        <is>
          <t>노동리</t>
        </is>
      </c>
      <c r="H9231" s="3" t="inlineStr">
        <is>
          <t>계획관리지역</t>
        </is>
      </c>
      <c r="I9231" s="3" t="inlineStr">
        <is>
          <t>도로</t>
        </is>
      </c>
      <c r="J9231" s="3" t="inlineStr">
        <is>
          <t>유구읍</t>
        </is>
      </c>
    </row>
    <row r="9232">
      <c r="A9232" s="3" t="n">
        <v>2023</v>
      </c>
      <c r="B9232" s="4" t="n">
        <v>24</v>
      </c>
      <c r="C9232" s="4" t="n">
        <v>25</v>
      </c>
      <c r="D9232" s="4" t="n">
        <v>7.5625</v>
      </c>
      <c r="E9232" s="5" t="n">
        <v>3.2</v>
      </c>
      <c r="F9232" s="3" t="inlineStr">
        <is>
          <t>유구읍</t>
        </is>
      </c>
      <c r="G9232" s="3" t="inlineStr">
        <is>
          <t>노동리</t>
        </is>
      </c>
      <c r="H9232" s="3" t="inlineStr">
        <is>
          <t>계획관리지역</t>
        </is>
      </c>
      <c r="I9232" s="3" t="inlineStr">
        <is>
          <t>도로</t>
        </is>
      </c>
      <c r="J9232" s="3" t="inlineStr">
        <is>
          <t>유구읍</t>
        </is>
      </c>
    </row>
    <row r="9233">
      <c r="A9233" s="3" t="n">
        <v>2023</v>
      </c>
      <c r="B9233" s="4" t="n">
        <v>3850</v>
      </c>
      <c r="C9233" s="4" t="n">
        <v>288</v>
      </c>
      <c r="D9233" s="4" t="n">
        <v>87.12</v>
      </c>
      <c r="E9233" s="5" t="n">
        <v>44.2</v>
      </c>
      <c r="F9233" s="3" t="inlineStr">
        <is>
          <t>유구읍</t>
        </is>
      </c>
      <c r="G9233" s="3" t="inlineStr">
        <is>
          <t>추계리</t>
        </is>
      </c>
      <c r="H9233" s="3" t="inlineStr">
        <is>
          <t>계획관리지역</t>
        </is>
      </c>
      <c r="I9233" s="3" t="inlineStr">
        <is>
          <t>대</t>
        </is>
      </c>
      <c r="J9233" s="3" t="inlineStr">
        <is>
          <t>유구읍</t>
        </is>
      </c>
    </row>
    <row r="9234">
      <c r="A9234" s="3" t="n">
        <v>2023</v>
      </c>
      <c r="B9234" s="4" t="n">
        <v>150</v>
      </c>
      <c r="C9234" s="4" t="n">
        <v>69</v>
      </c>
      <c r="D9234" s="4" t="n">
        <v>20.8725</v>
      </c>
      <c r="E9234" s="5" t="n">
        <v>7.2</v>
      </c>
      <c r="F9234" s="3" t="inlineStr">
        <is>
          <t>유구읍</t>
        </is>
      </c>
      <c r="G9234" s="3" t="inlineStr">
        <is>
          <t>신달리</t>
        </is>
      </c>
      <c r="H9234" s="3" t="inlineStr">
        <is>
          <t>보전관리지역</t>
        </is>
      </c>
      <c r="I9234" s="3" t="inlineStr">
        <is>
          <t>답</t>
        </is>
      </c>
      <c r="J9234" s="3" t="inlineStr">
        <is>
          <t>유구읍</t>
        </is>
      </c>
    </row>
    <row r="9235">
      <c r="A9235" s="3" t="n">
        <v>2023</v>
      </c>
      <c r="B9235" s="4" t="n">
        <v>4900</v>
      </c>
      <c r="C9235" s="4" t="n">
        <v>1706</v>
      </c>
      <c r="D9235" s="4" t="n">
        <v>516.0649999999999</v>
      </c>
      <c r="E9235" s="5" t="n">
        <v>9.5</v>
      </c>
      <c r="F9235" s="3" t="inlineStr">
        <is>
          <t>유구읍</t>
        </is>
      </c>
      <c r="G9235" s="3" t="inlineStr">
        <is>
          <t>동해리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유구읍</t>
        </is>
      </c>
    </row>
    <row r="9236">
      <c r="A9236" s="3" t="n">
        <v>2023</v>
      </c>
      <c r="B9236" s="4" t="n">
        <v>100</v>
      </c>
      <c r="C9236" s="4" t="n">
        <v>136</v>
      </c>
      <c r="D9236" s="4" t="n">
        <v>41.14</v>
      </c>
      <c r="E9236" s="5" t="n">
        <v>2.4</v>
      </c>
      <c r="F9236" s="3" t="inlineStr">
        <is>
          <t>유구읍</t>
        </is>
      </c>
      <c r="G9236" s="3" t="inlineStr">
        <is>
          <t>동해리</t>
        </is>
      </c>
      <c r="H9236" s="3" t="inlineStr">
        <is>
          <t>계획관리지역</t>
        </is>
      </c>
      <c r="I9236" s="3" t="inlineStr">
        <is>
          <t>하천</t>
        </is>
      </c>
      <c r="J9236" s="3" t="inlineStr">
        <is>
          <t>유구읍</t>
        </is>
      </c>
    </row>
    <row r="9237">
      <c r="A9237" s="3" t="n">
        <v>2023</v>
      </c>
      <c r="B9237" s="4" t="n">
        <v>250</v>
      </c>
      <c r="C9237" s="4" t="n">
        <v>18</v>
      </c>
      <c r="D9237" s="4" t="n">
        <v>5.445</v>
      </c>
      <c r="E9237" s="5" t="n">
        <v>45.9</v>
      </c>
      <c r="F9237" s="3" t="inlineStr">
        <is>
          <t>유구읍</t>
        </is>
      </c>
      <c r="G9237" s="3" t="inlineStr">
        <is>
          <t>유구리</t>
        </is>
      </c>
      <c r="H9237" s="3" t="inlineStr">
        <is>
          <t>제2종일반주거지역</t>
        </is>
      </c>
      <c r="I9237" s="3" t="inlineStr">
        <is>
          <t>대</t>
        </is>
      </c>
      <c r="J9237" s="3" t="inlineStr">
        <is>
          <t>유구읍</t>
        </is>
      </c>
    </row>
    <row r="9238">
      <c r="A9238" s="3" t="n">
        <v>2023</v>
      </c>
      <c r="B9238" s="4" t="n">
        <v>16970</v>
      </c>
      <c r="C9238" s="4" t="n">
        <v>5599</v>
      </c>
      <c r="D9238" s="4" t="n">
        <v>1693.6975</v>
      </c>
      <c r="E9238" s="5" t="n">
        <v>10</v>
      </c>
      <c r="F9238" s="3" t="inlineStr">
        <is>
          <t>유구읍</t>
        </is>
      </c>
      <c r="G9238" s="3" t="inlineStr">
        <is>
          <t>덕곡리</t>
        </is>
      </c>
      <c r="H9238" s="3" t="inlineStr">
        <is>
          <t>생산관리지역</t>
        </is>
      </c>
      <c r="I9238" s="3" t="inlineStr">
        <is>
          <t>대</t>
        </is>
      </c>
      <c r="J9238" s="3" t="inlineStr">
        <is>
          <t>유구읍</t>
        </is>
      </c>
    </row>
    <row r="9239">
      <c r="A9239" s="3" t="n">
        <v>2023</v>
      </c>
      <c r="B9239" s="4" t="n">
        <v>4608</v>
      </c>
      <c r="C9239" s="4" t="n">
        <v>1309</v>
      </c>
      <c r="D9239" s="4" t="n">
        <v>395.9725</v>
      </c>
      <c r="E9239" s="5" t="n">
        <v>11.6</v>
      </c>
      <c r="F9239" s="3" t="inlineStr">
        <is>
          <t>유구읍</t>
        </is>
      </c>
      <c r="G9239" s="3" t="inlineStr">
        <is>
          <t>명곡리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유구읍</t>
        </is>
      </c>
    </row>
    <row r="9240">
      <c r="A9240" s="3" t="n">
        <v>2023</v>
      </c>
      <c r="B9240" s="4" t="n">
        <v>2362</v>
      </c>
      <c r="C9240" s="4" t="n">
        <v>671</v>
      </c>
      <c r="D9240" s="4" t="n">
        <v>202.9775</v>
      </c>
      <c r="E9240" s="5" t="n">
        <v>11.6</v>
      </c>
      <c r="F9240" s="3" t="inlineStr">
        <is>
          <t>유구읍</t>
        </is>
      </c>
      <c r="G9240" s="3" t="inlineStr">
        <is>
          <t>명곡리</t>
        </is>
      </c>
      <c r="H9240" s="3" t="inlineStr">
        <is>
          <t>계획관리지역</t>
        </is>
      </c>
      <c r="I9240" s="3" t="inlineStr">
        <is>
          <t>답</t>
        </is>
      </c>
      <c r="J9240" s="3" t="inlineStr">
        <is>
          <t>유구읍</t>
        </is>
      </c>
    </row>
    <row r="9241">
      <c r="A9241" s="3" t="n">
        <v>2023</v>
      </c>
      <c r="B9241" s="4" t="n">
        <v>4763</v>
      </c>
      <c r="C9241" s="4" t="n">
        <v>1353</v>
      </c>
      <c r="D9241" s="4" t="n">
        <v>409.2825</v>
      </c>
      <c r="E9241" s="5" t="n">
        <v>11.6</v>
      </c>
      <c r="F9241" s="3" t="inlineStr">
        <is>
          <t>유구읍</t>
        </is>
      </c>
      <c r="G9241" s="3" t="inlineStr">
        <is>
          <t>명곡리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유구읍</t>
        </is>
      </c>
    </row>
    <row r="9242">
      <c r="A9242" s="3" t="n">
        <v>2023</v>
      </c>
      <c r="B9242" s="4" t="n">
        <v>3132</v>
      </c>
      <c r="C9242" s="4" t="n">
        <v>924</v>
      </c>
      <c r="D9242" s="4" t="n">
        <v>279.51</v>
      </c>
      <c r="E9242" s="5" t="n">
        <v>11.2</v>
      </c>
      <c r="F9242" s="3" t="inlineStr">
        <is>
          <t>유구읍</t>
        </is>
      </c>
      <c r="G9242" s="3" t="inlineStr">
        <is>
          <t>명곡리</t>
        </is>
      </c>
      <c r="H9242" s="3" t="inlineStr">
        <is>
          <t>계획관리지역</t>
        </is>
      </c>
      <c r="I9242" s="3" t="inlineStr">
        <is>
          <t>답</t>
        </is>
      </c>
      <c r="J9242" s="3" t="inlineStr">
        <is>
          <t>유구읍</t>
        </is>
      </c>
    </row>
    <row r="9243">
      <c r="A9243" s="3" t="n">
        <v>2023</v>
      </c>
      <c r="B9243" s="4" t="n">
        <v>271</v>
      </c>
      <c r="C9243" s="4" t="n">
        <v>83</v>
      </c>
      <c r="D9243" s="4" t="n">
        <v>25.1075</v>
      </c>
      <c r="E9243" s="5" t="n">
        <v>10.8</v>
      </c>
      <c r="F9243" s="3" t="inlineStr">
        <is>
          <t>유구읍</t>
        </is>
      </c>
      <c r="G9243" s="3" t="inlineStr">
        <is>
          <t>명곡리</t>
        </is>
      </c>
      <c r="H9243" s="3" t="inlineStr">
        <is>
          <t>보전관리지역</t>
        </is>
      </c>
      <c r="I9243" s="3" t="inlineStr">
        <is>
          <t>답</t>
        </is>
      </c>
      <c r="J9243" s="3" t="inlineStr">
        <is>
          <t>유구읍</t>
        </is>
      </c>
    </row>
    <row r="9244">
      <c r="A9244" s="3" t="n">
        <v>2024</v>
      </c>
      <c r="B9244" s="4" t="n">
        <v>1086</v>
      </c>
      <c r="C9244" s="4" t="n">
        <v>526</v>
      </c>
      <c r="D9244" s="4" t="n">
        <v>159.115</v>
      </c>
      <c r="E9244" s="5" t="n">
        <v>6.8</v>
      </c>
      <c r="F9244" s="3" t="inlineStr">
        <is>
          <t>유구읍</t>
        </is>
      </c>
      <c r="G9244" s="3" t="inlineStr">
        <is>
          <t>추계리</t>
        </is>
      </c>
      <c r="H9244" s="3" t="inlineStr">
        <is>
          <t>보전관리지역</t>
        </is>
      </c>
      <c r="I9244" s="3" t="inlineStr">
        <is>
          <t>전</t>
        </is>
      </c>
      <c r="J9244" s="3" t="inlineStr">
        <is>
          <t>유구읍</t>
        </is>
      </c>
    </row>
    <row r="9245">
      <c r="A9245" s="3" t="n">
        <v>2024</v>
      </c>
      <c r="B9245" s="4" t="n">
        <v>2226</v>
      </c>
      <c r="C9245" s="4" t="n">
        <v>1078</v>
      </c>
      <c r="D9245" s="4" t="n">
        <v>326.095</v>
      </c>
      <c r="E9245" s="5" t="n">
        <v>6.8</v>
      </c>
      <c r="F9245" s="3" t="inlineStr">
        <is>
          <t>유구읍</t>
        </is>
      </c>
      <c r="G9245" s="3" t="inlineStr">
        <is>
          <t>추계리</t>
        </is>
      </c>
      <c r="H9245" s="3" t="inlineStr">
        <is>
          <t>보전관리지역</t>
        </is>
      </c>
      <c r="I9245" s="3" t="inlineStr">
        <is>
          <t>전</t>
        </is>
      </c>
      <c r="J9245" s="3" t="inlineStr">
        <is>
          <t>유구읍</t>
        </is>
      </c>
    </row>
    <row r="9246">
      <c r="A9246" s="3" t="n">
        <v>2024</v>
      </c>
      <c r="B9246" s="4" t="n">
        <v>988</v>
      </c>
      <c r="C9246" s="4" t="n">
        <v>516</v>
      </c>
      <c r="D9246" s="4" t="n">
        <v>156.09</v>
      </c>
      <c r="E9246" s="5" t="n">
        <v>6.3</v>
      </c>
      <c r="F9246" s="3" t="inlineStr">
        <is>
          <t>유구읍</t>
        </is>
      </c>
      <c r="G9246" s="3" t="inlineStr">
        <is>
          <t>추계리</t>
        </is>
      </c>
      <c r="H9246" s="3" t="inlineStr">
        <is>
          <t>보전관리지역</t>
        </is>
      </c>
      <c r="I9246" s="3" t="inlineStr">
        <is>
          <t>전</t>
        </is>
      </c>
      <c r="J9246" s="3" t="inlineStr">
        <is>
          <t>유구읍</t>
        </is>
      </c>
    </row>
    <row r="9247">
      <c r="A9247" s="3" t="n">
        <v>2024</v>
      </c>
      <c r="B9247" s="4" t="n">
        <v>3500</v>
      </c>
      <c r="C9247" s="4" t="n">
        <v>542</v>
      </c>
      <c r="D9247" s="4" t="n">
        <v>163.955</v>
      </c>
      <c r="E9247" s="5" t="n">
        <v>21.3</v>
      </c>
      <c r="F9247" s="3" t="inlineStr">
        <is>
          <t>유구읍</t>
        </is>
      </c>
      <c r="G9247" s="3" t="inlineStr">
        <is>
          <t>추계리</t>
        </is>
      </c>
      <c r="H9247" s="3" t="inlineStr">
        <is>
          <t>보전관리지역</t>
        </is>
      </c>
      <c r="I9247" s="3" t="inlineStr">
        <is>
          <t>대</t>
        </is>
      </c>
      <c r="J9247" s="3" t="inlineStr">
        <is>
          <t>유구읍</t>
        </is>
      </c>
    </row>
    <row r="9248">
      <c r="A9248" s="3" t="n">
        <v>2024</v>
      </c>
      <c r="B9248" s="4" t="n">
        <v>7000</v>
      </c>
      <c r="C9248" s="4" t="n">
        <v>1342</v>
      </c>
      <c r="D9248" s="4" t="n">
        <v>405.955</v>
      </c>
      <c r="E9248" s="5" t="n">
        <v>17.2</v>
      </c>
      <c r="F9248" s="3" t="inlineStr">
        <is>
          <t>유구읍</t>
        </is>
      </c>
      <c r="G9248" s="3" t="inlineStr">
        <is>
          <t>동해리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유구읍</t>
        </is>
      </c>
    </row>
    <row r="9249">
      <c r="A9249" s="3" t="n">
        <v>2024</v>
      </c>
      <c r="B9249" s="4" t="n">
        <v>2000</v>
      </c>
      <c r="C9249" s="4" t="n">
        <v>668</v>
      </c>
      <c r="D9249" s="4" t="n">
        <v>202.07</v>
      </c>
      <c r="E9249" s="5" t="n">
        <v>9.9</v>
      </c>
      <c r="F9249" s="3" t="inlineStr">
        <is>
          <t>유구읍</t>
        </is>
      </c>
      <c r="G9249" s="3" t="inlineStr">
        <is>
          <t>녹천리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유구읍</t>
        </is>
      </c>
    </row>
    <row r="9250">
      <c r="A9250" s="3" t="n">
        <v>2024</v>
      </c>
      <c r="B9250" s="4" t="n">
        <v>3200</v>
      </c>
      <c r="C9250" s="4" t="n">
        <v>660</v>
      </c>
      <c r="D9250" s="4" t="n">
        <v>199.65</v>
      </c>
      <c r="E9250" s="5" t="n">
        <v>16</v>
      </c>
      <c r="F9250" s="3" t="inlineStr">
        <is>
          <t>유구읍</t>
        </is>
      </c>
      <c r="G9250" s="3" t="inlineStr">
        <is>
          <t>신영리</t>
        </is>
      </c>
      <c r="H9250" s="3" t="inlineStr">
        <is>
          <t>보전관리지역</t>
        </is>
      </c>
      <c r="I9250" s="3" t="inlineStr">
        <is>
          <t>답</t>
        </is>
      </c>
      <c r="J9250" s="3" t="inlineStr">
        <is>
          <t>유구읍</t>
        </is>
      </c>
    </row>
    <row r="9251">
      <c r="A9251" s="3" t="n">
        <v>2024</v>
      </c>
      <c r="B9251" s="4" t="n">
        <v>13500</v>
      </c>
      <c r="C9251" s="4" t="n">
        <v>3756</v>
      </c>
      <c r="D9251" s="4" t="n">
        <v>1136.19</v>
      </c>
      <c r="E9251" s="5" t="n">
        <v>11.9</v>
      </c>
      <c r="F9251" s="3" t="inlineStr">
        <is>
          <t>유구읍</t>
        </is>
      </c>
      <c r="G9251" s="3" t="inlineStr">
        <is>
          <t>신영리</t>
        </is>
      </c>
      <c r="H9251" s="3" t="inlineStr">
        <is>
          <t>보전관리지역</t>
        </is>
      </c>
      <c r="I9251" s="3" t="inlineStr">
        <is>
          <t>답</t>
        </is>
      </c>
      <c r="J9251" s="3" t="inlineStr">
        <is>
          <t>유구읍</t>
        </is>
      </c>
    </row>
    <row r="9252">
      <c r="A9252" s="3" t="n">
        <v>2024</v>
      </c>
      <c r="B9252" s="4" t="n">
        <v>1600</v>
      </c>
      <c r="C9252" s="4" t="n">
        <v>529</v>
      </c>
      <c r="D9252" s="4" t="n">
        <v>160.0225</v>
      </c>
      <c r="E9252" s="5" t="n">
        <v>10</v>
      </c>
      <c r="F9252" s="3" t="inlineStr">
        <is>
          <t>유구읍</t>
        </is>
      </c>
      <c r="G9252" s="3" t="inlineStr">
        <is>
          <t>문금리</t>
        </is>
      </c>
      <c r="H9252" s="3" t="inlineStr">
        <is>
          <t>계획관리지역</t>
        </is>
      </c>
      <c r="I9252" s="3" t="inlineStr">
        <is>
          <t>전</t>
        </is>
      </c>
      <c r="J9252" s="3" t="inlineStr">
        <is>
          <t>유구읍</t>
        </is>
      </c>
    </row>
    <row r="9253">
      <c r="A9253" s="3" t="n">
        <v>2024</v>
      </c>
      <c r="B9253" s="4" t="n">
        <v>3500</v>
      </c>
      <c r="C9253" s="4" t="n">
        <v>3613</v>
      </c>
      <c r="D9253" s="4" t="n">
        <v>1092.9325</v>
      </c>
      <c r="E9253" s="5" t="n">
        <v>3.2</v>
      </c>
      <c r="F9253" s="3" t="inlineStr">
        <is>
          <t>유구읍</t>
        </is>
      </c>
      <c r="G9253" s="3" t="inlineStr">
        <is>
          <t>만천리</t>
        </is>
      </c>
      <c r="H9253" s="3" t="inlineStr">
        <is>
          <t>농림지역</t>
        </is>
      </c>
      <c r="I9253" s="3" t="inlineStr">
        <is>
          <t>임야</t>
        </is>
      </c>
      <c r="J9253" s="3" t="inlineStr">
        <is>
          <t>유구읍</t>
        </is>
      </c>
    </row>
    <row r="9254">
      <c r="A9254" s="3" t="n">
        <v>2024</v>
      </c>
      <c r="B9254" s="4" t="n">
        <v>16000</v>
      </c>
      <c r="C9254" s="4" t="n">
        <v>1450</v>
      </c>
      <c r="D9254" s="4" t="n">
        <v>438.625</v>
      </c>
      <c r="E9254" s="5" t="n">
        <v>36.5</v>
      </c>
      <c r="F9254" s="3" t="inlineStr">
        <is>
          <t>유구읍</t>
        </is>
      </c>
      <c r="G9254" s="3" t="inlineStr">
        <is>
          <t>신달리</t>
        </is>
      </c>
      <c r="H9254" s="3" t="inlineStr">
        <is>
          <t>농림지역</t>
        </is>
      </c>
      <c r="I9254" s="3" t="inlineStr">
        <is>
          <t>잡종지</t>
        </is>
      </c>
      <c r="J9254" s="3" t="inlineStr">
        <is>
          <t>유구읍</t>
        </is>
      </c>
    </row>
    <row r="9255">
      <c r="A9255" s="3" t="n">
        <v>2024</v>
      </c>
      <c r="B9255" s="4" t="n">
        <v>5000</v>
      </c>
      <c r="C9255" s="4" t="n">
        <v>548</v>
      </c>
      <c r="D9255" s="4" t="n">
        <v>165.77</v>
      </c>
      <c r="E9255" s="5" t="n">
        <v>30.2</v>
      </c>
      <c r="F9255" s="3" t="inlineStr">
        <is>
          <t>유구읍</t>
        </is>
      </c>
      <c r="G9255" s="3" t="inlineStr">
        <is>
          <t>문금리</t>
        </is>
      </c>
      <c r="H9255" s="3" t="inlineStr">
        <is>
          <t>계획관리지역</t>
        </is>
      </c>
      <c r="I9255" s="3" t="inlineStr">
        <is>
          <t>답</t>
        </is>
      </c>
      <c r="J9255" s="3" t="inlineStr">
        <is>
          <t>유구읍</t>
        </is>
      </c>
    </row>
    <row r="9256">
      <c r="A9256" s="3" t="n">
        <v>2024</v>
      </c>
      <c r="B9256" s="4" t="n">
        <v>1660</v>
      </c>
      <c r="C9256" s="4" t="n">
        <v>159</v>
      </c>
      <c r="D9256" s="4" t="n">
        <v>48.0975</v>
      </c>
      <c r="E9256" s="5" t="n">
        <v>34.5</v>
      </c>
      <c r="F9256" s="3" t="inlineStr">
        <is>
          <t>유구읍</t>
        </is>
      </c>
      <c r="G9256" s="3" t="inlineStr">
        <is>
          <t>문금리</t>
        </is>
      </c>
      <c r="H9256" s="3" t="inlineStr">
        <is>
          <t>계획관리지역</t>
        </is>
      </c>
      <c r="I9256" s="3" t="inlineStr">
        <is>
          <t>답</t>
        </is>
      </c>
      <c r="J9256" s="3" t="inlineStr">
        <is>
          <t>유구읍</t>
        </is>
      </c>
    </row>
    <row r="9257">
      <c r="A9257" s="3" t="n">
        <v>2024</v>
      </c>
      <c r="B9257" s="4" t="n">
        <v>5740</v>
      </c>
      <c r="C9257" s="4" t="n">
        <v>549</v>
      </c>
      <c r="D9257" s="4" t="n">
        <v>166.0725</v>
      </c>
      <c r="E9257" s="5" t="n">
        <v>34.6</v>
      </c>
      <c r="F9257" s="3" t="inlineStr">
        <is>
          <t>유구읍</t>
        </is>
      </c>
      <c r="G9257" s="3" t="inlineStr">
        <is>
          <t>문금리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유구읍</t>
        </is>
      </c>
    </row>
    <row r="9258">
      <c r="A9258" s="3" t="n">
        <v>2024</v>
      </c>
      <c r="B9258" s="4" t="n">
        <v>5000</v>
      </c>
      <c r="C9258" s="4" t="n">
        <v>548</v>
      </c>
      <c r="D9258" s="4" t="n">
        <v>165.77</v>
      </c>
      <c r="E9258" s="5" t="n">
        <v>30.2</v>
      </c>
      <c r="F9258" s="3" t="inlineStr">
        <is>
          <t>유구읍</t>
        </is>
      </c>
      <c r="G9258" s="3" t="inlineStr">
        <is>
          <t>문금리</t>
        </is>
      </c>
      <c r="H9258" s="3" t="inlineStr">
        <is>
          <t>계획관리지역</t>
        </is>
      </c>
      <c r="I9258" s="3" t="inlineStr">
        <is>
          <t>답</t>
        </is>
      </c>
      <c r="J9258" s="3" t="inlineStr">
        <is>
          <t>유구읍</t>
        </is>
      </c>
    </row>
    <row r="9259">
      <c r="A9259" s="3" t="n">
        <v>2024</v>
      </c>
      <c r="B9259" s="4" t="n">
        <v>4950</v>
      </c>
      <c r="C9259" s="4" t="n">
        <v>551</v>
      </c>
      <c r="D9259" s="4" t="n">
        <v>166.6775</v>
      </c>
      <c r="E9259" s="5" t="n">
        <v>29.7</v>
      </c>
      <c r="F9259" s="3" t="inlineStr">
        <is>
          <t>유구읍</t>
        </is>
      </c>
      <c r="G9259" s="3" t="inlineStr">
        <is>
          <t>문금리</t>
        </is>
      </c>
      <c r="H9259" s="3" t="inlineStr">
        <is>
          <t>계획관리지역</t>
        </is>
      </c>
      <c r="I9259" s="3" t="inlineStr">
        <is>
          <t>답</t>
        </is>
      </c>
      <c r="J9259" s="3" t="inlineStr">
        <is>
          <t>유구읍</t>
        </is>
      </c>
    </row>
    <row r="9260">
      <c r="A9260" s="3" t="n">
        <v>2024</v>
      </c>
      <c r="B9260" s="4" t="n">
        <v>50</v>
      </c>
      <c r="C9260" s="4" t="n">
        <v>7</v>
      </c>
      <c r="D9260" s="4" t="n">
        <v>2.1175</v>
      </c>
      <c r="E9260" s="5" t="n">
        <v>23.6</v>
      </c>
      <c r="F9260" s="3" t="inlineStr">
        <is>
          <t>유구읍</t>
        </is>
      </c>
      <c r="G9260" s="3" t="inlineStr">
        <is>
          <t>문금리</t>
        </is>
      </c>
      <c r="H9260" s="3" t="inlineStr">
        <is>
          <t>계획관리지역</t>
        </is>
      </c>
      <c r="I9260" s="3" t="inlineStr">
        <is>
          <t>도로</t>
        </is>
      </c>
      <c r="J9260" s="3" t="inlineStr">
        <is>
          <t>유구읍</t>
        </is>
      </c>
    </row>
    <row r="9261">
      <c r="A9261" s="3" t="n">
        <v>2024</v>
      </c>
      <c r="B9261" s="4" t="n">
        <v>2846</v>
      </c>
      <c r="C9261" s="4" t="n">
        <v>697</v>
      </c>
      <c r="D9261" s="4" t="n">
        <v>210.8425</v>
      </c>
      <c r="E9261" s="5" t="n">
        <v>13.5</v>
      </c>
      <c r="F9261" s="3" t="inlineStr">
        <is>
          <t>유구읍</t>
        </is>
      </c>
      <c r="G9261" s="3" t="inlineStr">
        <is>
          <t>신영리</t>
        </is>
      </c>
      <c r="H9261" s="3" t="inlineStr">
        <is>
          <t>농림지역</t>
        </is>
      </c>
      <c r="I9261" s="3" t="inlineStr">
        <is>
          <t>답</t>
        </is>
      </c>
      <c r="J9261" s="3" t="inlineStr">
        <is>
          <t>유구읍</t>
        </is>
      </c>
    </row>
    <row r="9262">
      <c r="A9262" s="3" t="n">
        <v>2024</v>
      </c>
      <c r="B9262" s="4" t="n">
        <v>10770</v>
      </c>
      <c r="C9262" s="4" t="n">
        <v>2635</v>
      </c>
      <c r="D9262" s="4" t="n">
        <v>797.0875</v>
      </c>
      <c r="E9262" s="5" t="n">
        <v>13.5</v>
      </c>
      <c r="F9262" s="3" t="inlineStr">
        <is>
          <t>유구읍</t>
        </is>
      </c>
      <c r="G9262" s="3" t="inlineStr">
        <is>
          <t>신영리</t>
        </is>
      </c>
      <c r="H9262" s="3" t="inlineStr">
        <is>
          <t>농림지역</t>
        </is>
      </c>
      <c r="I9262" s="3" t="inlineStr">
        <is>
          <t>답</t>
        </is>
      </c>
      <c r="J9262" s="3" t="inlineStr">
        <is>
          <t>유구읍</t>
        </is>
      </c>
    </row>
    <row r="9263">
      <c r="A9263" s="3" t="n">
        <v>2024</v>
      </c>
      <c r="B9263" s="4" t="n">
        <v>10536</v>
      </c>
      <c r="C9263" s="4" t="n">
        <v>2582</v>
      </c>
      <c r="D9263" s="4" t="n">
        <v>781.0549999999999</v>
      </c>
      <c r="E9263" s="5" t="n">
        <v>13.5</v>
      </c>
      <c r="F9263" s="3" t="inlineStr">
        <is>
          <t>유구읍</t>
        </is>
      </c>
      <c r="G9263" s="3" t="inlineStr">
        <is>
          <t>신영리</t>
        </is>
      </c>
      <c r="H9263" s="3" t="inlineStr">
        <is>
          <t>농림지역</t>
        </is>
      </c>
      <c r="I9263" s="3" t="inlineStr">
        <is>
          <t>답</t>
        </is>
      </c>
      <c r="J9263" s="3" t="inlineStr">
        <is>
          <t>유구읍</t>
        </is>
      </c>
    </row>
    <row r="9264">
      <c r="A9264" s="3" t="n">
        <v>2024</v>
      </c>
      <c r="B9264" s="4" t="n">
        <v>5000</v>
      </c>
      <c r="C9264" s="4" t="n">
        <v>558</v>
      </c>
      <c r="D9264" s="4" t="n">
        <v>168.795</v>
      </c>
      <c r="E9264" s="5" t="n">
        <v>29.6</v>
      </c>
      <c r="F9264" s="3" t="inlineStr">
        <is>
          <t>유구읍</t>
        </is>
      </c>
      <c r="G9264" s="3" t="inlineStr">
        <is>
          <t>문금리</t>
        </is>
      </c>
      <c r="H9264" s="3" t="inlineStr">
        <is>
          <t>계획관리지역</t>
        </is>
      </c>
      <c r="I9264" s="3" t="inlineStr">
        <is>
          <t>답</t>
        </is>
      </c>
      <c r="J9264" s="3" t="inlineStr">
        <is>
          <t>유구읍</t>
        </is>
      </c>
    </row>
    <row r="9265">
      <c r="A9265" s="3" t="n">
        <v>2024</v>
      </c>
      <c r="B9265" s="4" t="n">
        <v>100</v>
      </c>
      <c r="C9265" s="4" t="n">
        <v>5</v>
      </c>
      <c r="D9265" s="4" t="n">
        <v>1.5125</v>
      </c>
      <c r="E9265" s="5" t="n">
        <v>66.09999999999999</v>
      </c>
      <c r="F9265" s="3" t="inlineStr">
        <is>
          <t>유구읍</t>
        </is>
      </c>
      <c r="G9265" s="3" t="inlineStr">
        <is>
          <t>문금리</t>
        </is>
      </c>
      <c r="H9265" s="3" t="inlineStr">
        <is>
          <t>계획관리지역</t>
        </is>
      </c>
      <c r="I9265" s="3" t="inlineStr">
        <is>
          <t>답</t>
        </is>
      </c>
      <c r="J9265" s="3" t="inlineStr">
        <is>
          <t>유구읍</t>
        </is>
      </c>
    </row>
    <row r="9266">
      <c r="A9266" s="3" t="n">
        <v>2024</v>
      </c>
      <c r="B9266" s="4" t="n">
        <v>401</v>
      </c>
      <c r="C9266" s="4" t="n">
        <v>317</v>
      </c>
      <c r="D9266" s="4" t="n">
        <v>95.8925</v>
      </c>
      <c r="E9266" s="5" t="n">
        <v>4.2</v>
      </c>
      <c r="F9266" s="3" t="inlineStr">
        <is>
          <t>유구읍</t>
        </is>
      </c>
      <c r="G9266" s="3" t="inlineStr">
        <is>
          <t>만천리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유구읍</t>
        </is>
      </c>
    </row>
    <row r="9267">
      <c r="A9267" s="3" t="n">
        <v>2024</v>
      </c>
      <c r="B9267" s="4" t="n">
        <v>660</v>
      </c>
      <c r="C9267" s="4" t="n">
        <v>522</v>
      </c>
      <c r="D9267" s="4" t="n">
        <v>157.905</v>
      </c>
      <c r="E9267" s="5" t="n">
        <v>4.2</v>
      </c>
      <c r="F9267" s="3" t="inlineStr">
        <is>
          <t>유구읍</t>
        </is>
      </c>
      <c r="G9267" s="3" t="inlineStr">
        <is>
          <t>만천리</t>
        </is>
      </c>
      <c r="H9267" s="3" t="inlineStr">
        <is>
          <t>계획관리지역</t>
        </is>
      </c>
      <c r="I9267" s="3" t="inlineStr">
        <is>
          <t>전</t>
        </is>
      </c>
      <c r="J9267" s="3" t="inlineStr">
        <is>
          <t>유구읍</t>
        </is>
      </c>
    </row>
    <row r="9268">
      <c r="A9268" s="3" t="n">
        <v>2024</v>
      </c>
      <c r="B9268" s="4" t="n">
        <v>768</v>
      </c>
      <c r="C9268" s="4" t="n">
        <v>608</v>
      </c>
      <c r="D9268" s="4" t="n">
        <v>183.92</v>
      </c>
      <c r="E9268" s="5" t="n">
        <v>4.2</v>
      </c>
      <c r="F9268" s="3" t="inlineStr">
        <is>
          <t>유구읍</t>
        </is>
      </c>
      <c r="G9268" s="3" t="inlineStr">
        <is>
          <t>만천리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유구읍</t>
        </is>
      </c>
    </row>
    <row r="9269">
      <c r="A9269" s="3" t="n">
        <v>2024</v>
      </c>
      <c r="B9269" s="4" t="n">
        <v>372</v>
      </c>
      <c r="C9269" s="4" t="n">
        <v>294</v>
      </c>
      <c r="D9269" s="4" t="n">
        <v>88.935</v>
      </c>
      <c r="E9269" s="5" t="n">
        <v>4.2</v>
      </c>
      <c r="F9269" s="3" t="inlineStr">
        <is>
          <t>유구읍</t>
        </is>
      </c>
      <c r="G9269" s="3" t="inlineStr">
        <is>
          <t>만천리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유구읍</t>
        </is>
      </c>
    </row>
    <row r="9270">
      <c r="A9270" s="3" t="n">
        <v>2024</v>
      </c>
      <c r="B9270" s="4" t="n">
        <v>1667</v>
      </c>
      <c r="C9270" s="4" t="n">
        <v>1319</v>
      </c>
      <c r="D9270" s="4" t="n">
        <v>398.9975</v>
      </c>
      <c r="E9270" s="5" t="n">
        <v>4.2</v>
      </c>
      <c r="F9270" s="3" t="inlineStr">
        <is>
          <t>유구읍</t>
        </is>
      </c>
      <c r="G9270" s="3" t="inlineStr">
        <is>
          <t>만천리</t>
        </is>
      </c>
      <c r="H9270" s="3" t="inlineStr">
        <is>
          <t>계획관리지역</t>
        </is>
      </c>
      <c r="I9270" s="3" t="inlineStr">
        <is>
          <t>전</t>
        </is>
      </c>
      <c r="J9270" s="3" t="inlineStr">
        <is>
          <t>유구읍</t>
        </is>
      </c>
    </row>
    <row r="9271">
      <c r="A9271" s="3" t="n">
        <v>2024</v>
      </c>
      <c r="B9271" s="4" t="n">
        <v>2444</v>
      </c>
      <c r="C9271" s="4" t="n">
        <v>1934</v>
      </c>
      <c r="D9271" s="4" t="n">
        <v>585.035</v>
      </c>
      <c r="E9271" s="5" t="n">
        <v>4.2</v>
      </c>
      <c r="F9271" s="3" t="inlineStr">
        <is>
          <t>유구읍</t>
        </is>
      </c>
      <c r="G9271" s="3" t="inlineStr">
        <is>
          <t>만천리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유구읍</t>
        </is>
      </c>
    </row>
    <row r="9272">
      <c r="A9272" s="3" t="n">
        <v>2024</v>
      </c>
      <c r="B9272" s="4" t="n">
        <v>706</v>
      </c>
      <c r="C9272" s="4" t="n">
        <v>559</v>
      </c>
      <c r="D9272" s="4" t="n">
        <v>169.0975</v>
      </c>
      <c r="E9272" s="5" t="n">
        <v>4.2</v>
      </c>
      <c r="F9272" s="3" t="inlineStr">
        <is>
          <t>유구읍</t>
        </is>
      </c>
      <c r="G9272" s="3" t="inlineStr">
        <is>
          <t>만천리</t>
        </is>
      </c>
      <c r="H9272" s="3" t="inlineStr">
        <is>
          <t>계획관리지역</t>
        </is>
      </c>
      <c r="I9272" s="3" t="inlineStr">
        <is>
          <t>전</t>
        </is>
      </c>
      <c r="J9272" s="3" t="inlineStr">
        <is>
          <t>유구읍</t>
        </is>
      </c>
    </row>
    <row r="9273">
      <c r="A9273" s="3" t="n">
        <v>2024</v>
      </c>
      <c r="B9273" s="4" t="n">
        <v>1328</v>
      </c>
      <c r="C9273" s="4" t="n">
        <v>1051</v>
      </c>
      <c r="D9273" s="4" t="n">
        <v>317.9275</v>
      </c>
      <c r="E9273" s="5" t="n">
        <v>4.2</v>
      </c>
      <c r="F9273" s="3" t="inlineStr">
        <is>
          <t>유구읍</t>
        </is>
      </c>
      <c r="G9273" s="3" t="inlineStr">
        <is>
          <t>만천리</t>
        </is>
      </c>
      <c r="H9273" s="3" t="inlineStr">
        <is>
          <t>계획관리지역</t>
        </is>
      </c>
      <c r="I9273" s="3" t="inlineStr">
        <is>
          <t>전</t>
        </is>
      </c>
      <c r="J9273" s="3" t="inlineStr">
        <is>
          <t>유구읍</t>
        </is>
      </c>
    </row>
    <row r="9274">
      <c r="A9274" s="3" t="n">
        <v>2024</v>
      </c>
      <c r="B9274" s="4" t="n">
        <v>1654</v>
      </c>
      <c r="C9274" s="4" t="n">
        <v>1309</v>
      </c>
      <c r="D9274" s="4" t="n">
        <v>395.9725</v>
      </c>
      <c r="E9274" s="5" t="n">
        <v>4.2</v>
      </c>
      <c r="F9274" s="3" t="inlineStr">
        <is>
          <t>유구읍</t>
        </is>
      </c>
      <c r="G9274" s="3" t="inlineStr">
        <is>
          <t>만천리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유구읍</t>
        </is>
      </c>
    </row>
    <row r="9275">
      <c r="A9275" s="3" t="n">
        <v>2024</v>
      </c>
      <c r="B9275" s="4" t="n">
        <v>8680</v>
      </c>
      <c r="C9275" s="4" t="n">
        <v>2396</v>
      </c>
      <c r="D9275" s="4" t="n">
        <v>724.79</v>
      </c>
      <c r="E9275" s="5" t="n">
        <v>12</v>
      </c>
      <c r="F9275" s="3" t="inlineStr">
        <is>
          <t>유구읍</t>
        </is>
      </c>
      <c r="G9275" s="3" t="inlineStr">
        <is>
          <t>만천리</t>
        </is>
      </c>
      <c r="H9275" s="3" t="inlineStr">
        <is>
          <t>농림지역</t>
        </is>
      </c>
      <c r="I9275" s="3" t="inlineStr">
        <is>
          <t>답</t>
        </is>
      </c>
      <c r="J9275" s="3" t="inlineStr">
        <is>
          <t>유구읍</t>
        </is>
      </c>
    </row>
    <row r="9276">
      <c r="A9276" s="3" t="n">
        <v>2024</v>
      </c>
      <c r="B9276" s="4" t="n">
        <v>2149</v>
      </c>
      <c r="C9276" s="4" t="n">
        <v>99</v>
      </c>
      <c r="D9276" s="4" t="n">
        <v>29.9475</v>
      </c>
      <c r="E9276" s="5" t="n">
        <v>71.8</v>
      </c>
      <c r="F9276" s="3" t="inlineStr">
        <is>
          <t>유구읍</t>
        </is>
      </c>
      <c r="G9276" s="3" t="inlineStr">
        <is>
          <t>석남리</t>
        </is>
      </c>
      <c r="H9276" s="3" t="inlineStr">
        <is>
          <t>일반상업지역</t>
        </is>
      </c>
      <c r="I9276" s="3" t="inlineStr">
        <is>
          <t>임야</t>
        </is>
      </c>
      <c r="J9276" s="3" t="inlineStr">
        <is>
          <t>유구읍</t>
        </is>
      </c>
    </row>
    <row r="9277">
      <c r="A9277" s="3" t="n">
        <v>2024</v>
      </c>
      <c r="B9277" s="4" t="n">
        <v>351</v>
      </c>
      <c r="C9277" s="4" t="n">
        <v>19</v>
      </c>
      <c r="D9277" s="4" t="n">
        <v>5.7475</v>
      </c>
      <c r="E9277" s="5" t="n">
        <v>61.1</v>
      </c>
      <c r="F9277" s="3" t="inlineStr">
        <is>
          <t>유구읍</t>
        </is>
      </c>
      <c r="G9277" s="3" t="inlineStr">
        <is>
          <t>석남리</t>
        </is>
      </c>
      <c r="H9277" s="3" t="inlineStr">
        <is>
          <t>일반상업지역</t>
        </is>
      </c>
      <c r="I9277" s="3" t="inlineStr">
        <is>
          <t>임야</t>
        </is>
      </c>
      <c r="J9277" s="3" t="inlineStr">
        <is>
          <t>유구읍</t>
        </is>
      </c>
    </row>
    <row r="9278">
      <c r="A9278" s="3" t="n">
        <v>2024</v>
      </c>
      <c r="B9278" s="4" t="n">
        <v>2000</v>
      </c>
      <c r="C9278" s="4" t="n">
        <v>222</v>
      </c>
      <c r="D9278" s="4" t="n">
        <v>67.155</v>
      </c>
      <c r="E9278" s="5" t="n">
        <v>29.8</v>
      </c>
      <c r="F9278" s="3" t="inlineStr">
        <is>
          <t>유구읍</t>
        </is>
      </c>
      <c r="G9278" s="3" t="inlineStr">
        <is>
          <t>유구리</t>
        </is>
      </c>
      <c r="H9278" s="3" t="inlineStr">
        <is>
          <t>제2종일반주거지역</t>
        </is>
      </c>
      <c r="I9278" s="3" t="inlineStr">
        <is>
          <t>전</t>
        </is>
      </c>
      <c r="J9278" s="3" t="inlineStr">
        <is>
          <t>유구읍</t>
        </is>
      </c>
    </row>
    <row r="9279">
      <c r="A9279" s="3" t="n">
        <v>2024</v>
      </c>
      <c r="B9279" s="4" t="n">
        <v>3200</v>
      </c>
      <c r="C9279" s="4" t="n">
        <v>1779</v>
      </c>
      <c r="D9279" s="4" t="n">
        <v>538.1475</v>
      </c>
      <c r="E9279" s="5" t="n">
        <v>5.9</v>
      </c>
      <c r="F9279" s="3" t="inlineStr">
        <is>
          <t>유구읍</t>
        </is>
      </c>
      <c r="G9279" s="3" t="inlineStr">
        <is>
          <t>석남리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유구읍</t>
        </is>
      </c>
    </row>
    <row r="9280">
      <c r="A9280" s="3" t="n">
        <v>2022</v>
      </c>
      <c r="B9280" s="4" t="n">
        <v>5670</v>
      </c>
      <c r="C9280" s="4" t="n">
        <v>331</v>
      </c>
      <c r="D9280" s="4" t="n">
        <v>100.1275</v>
      </c>
      <c r="E9280" s="5" t="n">
        <v>56.6</v>
      </c>
      <c r="F9280" s="3" t="inlineStr">
        <is>
          <t>유구읍</t>
        </is>
      </c>
      <c r="G9280" s="3" t="inlineStr">
        <is>
          <t>신영리</t>
        </is>
      </c>
      <c r="H9280" s="3" t="inlineStr">
        <is>
          <t>계획관리지역</t>
        </is>
      </c>
      <c r="I9280" s="3" t="inlineStr">
        <is>
          <t>대</t>
        </is>
      </c>
      <c r="J9280" s="3" t="inlineStr">
        <is>
          <t>유구읍</t>
        </is>
      </c>
    </row>
    <row r="9281">
      <c r="A9281" s="3" t="n">
        <v>2022</v>
      </c>
      <c r="B9281" s="4" t="n">
        <v>1880</v>
      </c>
      <c r="C9281" s="4" t="n">
        <v>159</v>
      </c>
      <c r="D9281" s="4" t="n">
        <v>48.0975</v>
      </c>
      <c r="E9281" s="5" t="n">
        <v>39.1</v>
      </c>
      <c r="F9281" s="3" t="inlineStr">
        <is>
          <t>유구읍</t>
        </is>
      </c>
      <c r="G9281" s="3" t="inlineStr">
        <is>
          <t>신영리</t>
        </is>
      </c>
      <c r="H9281" s="3" t="inlineStr">
        <is>
          <t>계획관리지역</t>
        </is>
      </c>
      <c r="I9281" s="3" t="inlineStr">
        <is>
          <t>전</t>
        </is>
      </c>
      <c r="J9281" s="3" t="inlineStr">
        <is>
          <t>유구읍</t>
        </is>
      </c>
    </row>
    <row r="9282">
      <c r="A9282" s="3" t="n">
        <v>2022</v>
      </c>
      <c r="B9282" s="4" t="n">
        <v>1250</v>
      </c>
      <c r="C9282" s="4" t="n">
        <v>664</v>
      </c>
      <c r="D9282" s="4" t="n">
        <v>200.86</v>
      </c>
      <c r="E9282" s="5" t="n">
        <v>6.2</v>
      </c>
      <c r="F9282" s="3" t="inlineStr">
        <is>
          <t>유구읍</t>
        </is>
      </c>
      <c r="G9282" s="3" t="inlineStr">
        <is>
          <t>세동리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유구읍</t>
        </is>
      </c>
    </row>
    <row r="9283">
      <c r="A9283" s="3" t="n">
        <v>2022</v>
      </c>
      <c r="B9283" s="4" t="n">
        <v>1000</v>
      </c>
      <c r="C9283" s="4" t="n">
        <v>638</v>
      </c>
      <c r="D9283" s="4" t="n">
        <v>192.995</v>
      </c>
      <c r="E9283" s="5" t="n">
        <v>5.2</v>
      </c>
      <c r="F9283" s="3" t="inlineStr">
        <is>
          <t>유구읍</t>
        </is>
      </c>
      <c r="G9283" s="3" t="inlineStr">
        <is>
          <t>세동리</t>
        </is>
      </c>
      <c r="H9283" s="3" t="inlineStr">
        <is>
          <t>계획관리지역</t>
        </is>
      </c>
      <c r="I9283" s="3" t="inlineStr">
        <is>
          <t>전</t>
        </is>
      </c>
      <c r="J9283" s="3" t="inlineStr">
        <is>
          <t>유구읍</t>
        </is>
      </c>
    </row>
    <row r="9284">
      <c r="A9284" s="3" t="n">
        <v>2022</v>
      </c>
      <c r="B9284" s="4" t="n">
        <v>2700</v>
      </c>
      <c r="C9284" s="4" t="n">
        <v>182</v>
      </c>
      <c r="D9284" s="4" t="n">
        <v>55.055</v>
      </c>
      <c r="E9284" s="5" t="n">
        <v>49</v>
      </c>
      <c r="F9284" s="3" t="inlineStr">
        <is>
          <t>유구읍</t>
        </is>
      </c>
      <c r="G9284" s="3" t="inlineStr">
        <is>
          <t>구계리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유구읍</t>
        </is>
      </c>
    </row>
    <row r="9285">
      <c r="A9285" s="3" t="n">
        <v>2022</v>
      </c>
      <c r="B9285" s="4" t="n">
        <v>300</v>
      </c>
      <c r="C9285" s="4" t="n">
        <v>98</v>
      </c>
      <c r="D9285" s="4" t="n">
        <v>29.645</v>
      </c>
      <c r="E9285" s="5" t="n">
        <v>10.1</v>
      </c>
      <c r="F9285" s="3" t="inlineStr">
        <is>
          <t>유구읍</t>
        </is>
      </c>
      <c r="G9285" s="3" t="inlineStr">
        <is>
          <t>연종리</t>
        </is>
      </c>
      <c r="H9285" s="3" t="inlineStr">
        <is>
          <t>계획관리지역</t>
        </is>
      </c>
      <c r="I9285" s="3" t="inlineStr">
        <is>
          <t>전</t>
        </is>
      </c>
      <c r="J9285" s="3" t="inlineStr">
        <is>
          <t>유구읍</t>
        </is>
      </c>
    </row>
    <row r="9286">
      <c r="A9286" s="3" t="n">
        <v>2022</v>
      </c>
      <c r="B9286" s="4" t="n">
        <v>1700</v>
      </c>
      <c r="C9286" s="4" t="n">
        <v>865</v>
      </c>
      <c r="D9286" s="4" t="n">
        <v>261.6625</v>
      </c>
      <c r="E9286" s="5" t="n">
        <v>6.5</v>
      </c>
      <c r="F9286" s="3" t="inlineStr">
        <is>
          <t>유구읍</t>
        </is>
      </c>
      <c r="G9286" s="3" t="inlineStr">
        <is>
          <t>연종리</t>
        </is>
      </c>
      <c r="H9286" s="3" t="inlineStr">
        <is>
          <t>농림지역</t>
        </is>
      </c>
      <c r="I9286" s="3" t="inlineStr">
        <is>
          <t>답</t>
        </is>
      </c>
      <c r="J9286" s="3" t="inlineStr">
        <is>
          <t>유구읍</t>
        </is>
      </c>
    </row>
    <row r="9287">
      <c r="A9287" s="3" t="n">
        <v>2022</v>
      </c>
      <c r="B9287" s="4" t="n">
        <v>5000</v>
      </c>
      <c r="C9287" s="4" t="n">
        <v>1666</v>
      </c>
      <c r="D9287" s="4" t="n">
        <v>503.965</v>
      </c>
      <c r="E9287" s="5" t="n">
        <v>9.9</v>
      </c>
      <c r="F9287" s="3" t="inlineStr">
        <is>
          <t>유구읍</t>
        </is>
      </c>
      <c r="G9287" s="3" t="inlineStr">
        <is>
          <t>동해리</t>
        </is>
      </c>
      <c r="H9287" s="3" t="inlineStr">
        <is>
          <t>계획관리지역</t>
        </is>
      </c>
      <c r="I9287" s="3" t="inlineStr">
        <is>
          <t>전</t>
        </is>
      </c>
      <c r="J9287" s="3" t="inlineStr">
        <is>
          <t>유구읍</t>
        </is>
      </c>
    </row>
    <row r="9288">
      <c r="A9288" s="3" t="n">
        <v>2022</v>
      </c>
      <c r="B9288" s="4" t="n">
        <v>1800</v>
      </c>
      <c r="C9288" s="4" t="n">
        <v>655</v>
      </c>
      <c r="D9288" s="4" t="n">
        <v>198.1375</v>
      </c>
      <c r="E9288" s="5" t="n">
        <v>9.1</v>
      </c>
      <c r="F9288" s="3" t="inlineStr">
        <is>
          <t>유구읍</t>
        </is>
      </c>
      <c r="G9288" s="3" t="inlineStr">
        <is>
          <t>세동리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유구읍</t>
        </is>
      </c>
    </row>
    <row r="9289">
      <c r="A9289" s="3" t="n">
        <v>2022</v>
      </c>
      <c r="B9289" s="4" t="n">
        <v>150</v>
      </c>
      <c r="C9289" s="4" t="n">
        <v>18</v>
      </c>
      <c r="D9289" s="4" t="n">
        <v>5.445</v>
      </c>
      <c r="E9289" s="5" t="n">
        <v>27.5</v>
      </c>
      <c r="F9289" s="3" t="inlineStr">
        <is>
          <t>유구읍</t>
        </is>
      </c>
      <c r="G9289" s="3" t="inlineStr">
        <is>
          <t>추계리</t>
        </is>
      </c>
      <c r="H9289" s="3" t="inlineStr">
        <is>
          <t>보전관리지역</t>
        </is>
      </c>
      <c r="I9289" s="3" t="inlineStr">
        <is>
          <t>전</t>
        </is>
      </c>
      <c r="J9289" s="3" t="inlineStr">
        <is>
          <t>유구읍</t>
        </is>
      </c>
    </row>
    <row r="9290">
      <c r="A9290" s="3" t="n">
        <v>2022</v>
      </c>
      <c r="B9290" s="4" t="n">
        <v>4600</v>
      </c>
      <c r="C9290" s="4" t="n">
        <v>1042</v>
      </c>
      <c r="D9290" s="4" t="n">
        <v>315.205</v>
      </c>
      <c r="E9290" s="5" t="n">
        <v>14.6</v>
      </c>
      <c r="F9290" s="3" t="inlineStr">
        <is>
          <t>유구읍</t>
        </is>
      </c>
      <c r="G9290" s="3" t="inlineStr">
        <is>
          <t>신영리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유구읍</t>
        </is>
      </c>
    </row>
    <row r="9291">
      <c r="A9291" s="3" t="n">
        <v>2022</v>
      </c>
      <c r="B9291" s="4" t="n">
        <v>3400</v>
      </c>
      <c r="C9291" s="4" t="n">
        <v>751</v>
      </c>
      <c r="D9291" s="4" t="n">
        <v>227.1775</v>
      </c>
      <c r="E9291" s="5" t="n">
        <v>15</v>
      </c>
      <c r="F9291" s="3" t="inlineStr">
        <is>
          <t>유구읍</t>
        </is>
      </c>
      <c r="G9291" s="3" t="inlineStr">
        <is>
          <t>신영리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유구읍</t>
        </is>
      </c>
    </row>
    <row r="9292">
      <c r="A9292" s="3" t="n">
        <v>2022</v>
      </c>
      <c r="B9292" s="4" t="n">
        <v>4900</v>
      </c>
      <c r="C9292" s="4" t="n">
        <v>331</v>
      </c>
      <c r="D9292" s="4" t="n">
        <v>100.1275</v>
      </c>
      <c r="E9292" s="5" t="n">
        <v>48.9</v>
      </c>
      <c r="F9292" s="3" t="inlineStr">
        <is>
          <t>유구읍</t>
        </is>
      </c>
      <c r="G9292" s="3" t="inlineStr">
        <is>
          <t>유구리</t>
        </is>
      </c>
      <c r="H9292" s="3" t="inlineStr">
        <is>
          <t>자연녹지지역</t>
        </is>
      </c>
      <c r="I9292" s="3" t="inlineStr">
        <is>
          <t>전</t>
        </is>
      </c>
      <c r="J9292" s="3" t="inlineStr">
        <is>
          <t>유구읍</t>
        </is>
      </c>
    </row>
    <row r="9293">
      <c r="A9293" s="3" t="n">
        <v>2023</v>
      </c>
      <c r="B9293" s="4" t="n">
        <v>3800</v>
      </c>
      <c r="C9293" s="4" t="n">
        <v>1177</v>
      </c>
      <c r="D9293" s="4" t="n">
        <v>356.0425</v>
      </c>
      <c r="E9293" s="5" t="n">
        <v>10.7</v>
      </c>
      <c r="F9293" s="3" t="inlineStr">
        <is>
          <t>유구읍</t>
        </is>
      </c>
      <c r="G9293" s="3" t="inlineStr">
        <is>
          <t>문금리</t>
        </is>
      </c>
      <c r="H9293" s="3" t="inlineStr">
        <is>
          <t>계획관리지역</t>
        </is>
      </c>
      <c r="I9293" s="3" t="inlineStr">
        <is>
          <t>답</t>
        </is>
      </c>
      <c r="J9293" s="3" t="inlineStr">
        <is>
          <t>유구읍</t>
        </is>
      </c>
    </row>
    <row r="9294">
      <c r="A9294" s="3" t="n">
        <v>2023</v>
      </c>
      <c r="B9294" s="4" t="n">
        <v>5579</v>
      </c>
      <c r="C9294" s="4" t="n">
        <v>1537</v>
      </c>
      <c r="D9294" s="4" t="n">
        <v>464.9425</v>
      </c>
      <c r="E9294" s="5" t="n">
        <v>12</v>
      </c>
      <c r="F9294" s="3" t="inlineStr">
        <is>
          <t>유구읍</t>
        </is>
      </c>
      <c r="G9294" s="3" t="inlineStr">
        <is>
          <t>입석리</t>
        </is>
      </c>
      <c r="H9294" s="3" t="inlineStr">
        <is>
          <t>농림지역</t>
        </is>
      </c>
      <c r="I9294" s="3" t="inlineStr">
        <is>
          <t>답</t>
        </is>
      </c>
      <c r="J9294" s="3" t="inlineStr">
        <is>
          <t>유구읍</t>
        </is>
      </c>
    </row>
    <row r="9295">
      <c r="A9295" s="3" t="n">
        <v>2023</v>
      </c>
      <c r="B9295" s="4" t="n">
        <v>5089</v>
      </c>
      <c r="C9295" s="4" t="n">
        <v>1402</v>
      </c>
      <c r="D9295" s="4" t="n">
        <v>424.105</v>
      </c>
      <c r="E9295" s="5" t="n">
        <v>12</v>
      </c>
      <c r="F9295" s="3" t="inlineStr">
        <is>
          <t>유구읍</t>
        </is>
      </c>
      <c r="G9295" s="3" t="inlineStr">
        <is>
          <t>입석리</t>
        </is>
      </c>
      <c r="H9295" s="3" t="inlineStr">
        <is>
          <t>농림지역</t>
        </is>
      </c>
      <c r="I9295" s="3" t="inlineStr">
        <is>
          <t>답</t>
        </is>
      </c>
      <c r="J9295" s="3" t="inlineStr">
        <is>
          <t>유구읍</t>
        </is>
      </c>
    </row>
    <row r="9296">
      <c r="A9296" s="3" t="n">
        <v>2022</v>
      </c>
      <c r="B9296" s="4" t="n">
        <v>1000</v>
      </c>
      <c r="C9296" s="4" t="n">
        <v>387</v>
      </c>
      <c r="D9296" s="4" t="n">
        <v>117.0675</v>
      </c>
      <c r="E9296" s="5" t="n">
        <v>8.5</v>
      </c>
      <c r="F9296" s="3" t="inlineStr">
        <is>
          <t>유구읍</t>
        </is>
      </c>
      <c r="G9296" s="3" t="inlineStr">
        <is>
          <t>추계리</t>
        </is>
      </c>
      <c r="H9296" s="3" t="inlineStr">
        <is>
          <t>보전관리지역</t>
        </is>
      </c>
      <c r="I9296" s="3" t="inlineStr">
        <is>
          <t>답</t>
        </is>
      </c>
      <c r="J9296" s="3" t="inlineStr">
        <is>
          <t>유구읍</t>
        </is>
      </c>
    </row>
    <row r="9297">
      <c r="A9297" s="3" t="n">
        <v>2022</v>
      </c>
      <c r="B9297" s="4" t="n">
        <v>11000</v>
      </c>
      <c r="C9297" s="4" t="n">
        <v>1829</v>
      </c>
      <c r="D9297" s="4" t="n">
        <v>553.2725</v>
      </c>
      <c r="E9297" s="5" t="n">
        <v>19.9</v>
      </c>
      <c r="F9297" s="3" t="inlineStr">
        <is>
          <t>유구읍</t>
        </is>
      </c>
      <c r="G9297" s="3" t="inlineStr">
        <is>
          <t>만천리</t>
        </is>
      </c>
      <c r="H9297" s="3" t="inlineStr">
        <is>
          <t>계획관리지역</t>
        </is>
      </c>
      <c r="I9297" s="3" t="inlineStr">
        <is>
          <t>답</t>
        </is>
      </c>
      <c r="J9297" s="3" t="inlineStr">
        <is>
          <t>유구읍</t>
        </is>
      </c>
    </row>
    <row r="9298">
      <c r="A9298" s="3" t="n">
        <v>2022</v>
      </c>
      <c r="B9298" s="4" t="n">
        <v>5000</v>
      </c>
      <c r="C9298" s="4" t="n">
        <v>162</v>
      </c>
      <c r="D9298" s="4" t="n">
        <v>49.005</v>
      </c>
      <c r="E9298" s="5" t="n">
        <v>102</v>
      </c>
      <c r="F9298" s="3" t="inlineStr">
        <is>
          <t>유구읍</t>
        </is>
      </c>
      <c r="G9298" s="3" t="inlineStr">
        <is>
          <t>석남리</t>
        </is>
      </c>
      <c r="H9298" s="3" t="inlineStr">
        <is>
          <t>제2종일반주거지역</t>
        </is>
      </c>
      <c r="I9298" s="3" t="inlineStr">
        <is>
          <t>대</t>
        </is>
      </c>
      <c r="J9298" s="3" t="inlineStr">
        <is>
          <t>유구읍</t>
        </is>
      </c>
    </row>
    <row r="9299">
      <c r="A9299" s="3" t="n">
        <v>2023</v>
      </c>
      <c r="B9299" s="4" t="n">
        <v>5000</v>
      </c>
      <c r="C9299" s="4" t="n">
        <v>855</v>
      </c>
      <c r="D9299" s="4" t="n">
        <v>258.6375</v>
      </c>
      <c r="E9299" s="5" t="n">
        <v>19.3</v>
      </c>
      <c r="F9299" s="3" t="inlineStr">
        <is>
          <t>유구읍</t>
        </is>
      </c>
      <c r="G9299" s="3" t="inlineStr">
        <is>
          <t>녹천리</t>
        </is>
      </c>
      <c r="H9299" s="3" t="inlineStr">
        <is>
          <t>자연녹지지역</t>
        </is>
      </c>
      <c r="I9299" s="3" t="inlineStr">
        <is>
          <t>전</t>
        </is>
      </c>
      <c r="J9299" s="3" t="inlineStr">
        <is>
          <t>유구읍</t>
        </is>
      </c>
    </row>
    <row r="9300">
      <c r="A9300" s="3" t="n">
        <v>2024</v>
      </c>
      <c r="B9300" s="4" t="n">
        <v>300</v>
      </c>
      <c r="C9300" s="4" t="n">
        <v>73</v>
      </c>
      <c r="D9300" s="4" t="n">
        <v>22.0825</v>
      </c>
      <c r="E9300" s="5" t="n">
        <v>13.6</v>
      </c>
      <c r="F9300" s="3" t="inlineStr">
        <is>
          <t>유구읍</t>
        </is>
      </c>
      <c r="G9300" s="3" t="inlineStr">
        <is>
          <t>만천리</t>
        </is>
      </c>
      <c r="H9300" s="3" t="inlineStr">
        <is>
          <t>농림지역</t>
        </is>
      </c>
      <c r="I9300" s="3" t="inlineStr">
        <is>
          <t>도로</t>
        </is>
      </c>
      <c r="J9300" s="3" t="inlineStr">
        <is>
          <t>유구읍</t>
        </is>
      </c>
    </row>
    <row r="9301">
      <c r="A9301" s="3" t="n">
        <v>2025</v>
      </c>
      <c r="B9301" s="4" t="n">
        <v>7667</v>
      </c>
      <c r="C9301" s="4" t="n">
        <v>2045.6</v>
      </c>
      <c r="D9301" s="4" t="n">
        <v>618.794</v>
      </c>
      <c r="E9301" s="5" t="n">
        <v>12.4</v>
      </c>
      <c r="F9301" s="3" t="inlineStr">
        <is>
          <t>유구읍</t>
        </is>
      </c>
      <c r="G9301" s="3" t="inlineStr">
        <is>
          <t>문금리</t>
        </is>
      </c>
      <c r="H9301" s="3" t="inlineStr">
        <is>
          <t>농림지역</t>
        </is>
      </c>
      <c r="I9301" s="3" t="inlineStr">
        <is>
          <t>답</t>
        </is>
      </c>
      <c r="J9301" s="3" t="inlineStr">
        <is>
          <t>유구읍</t>
        </is>
      </c>
    </row>
    <row r="9302">
      <c r="A9302" s="3" t="n">
        <v>2026</v>
      </c>
      <c r="B9302" s="4" t="n">
        <v>7400</v>
      </c>
      <c r="C9302" s="4" t="n">
        <v>3174</v>
      </c>
      <c r="D9302" s="4" t="n">
        <v>960.135</v>
      </c>
      <c r="E9302" s="5" t="n">
        <v>7.7</v>
      </c>
      <c r="F9302" s="3" t="inlineStr">
        <is>
          <t>유구읍</t>
        </is>
      </c>
      <c r="G9302" s="3" t="inlineStr">
        <is>
          <t>문금리</t>
        </is>
      </c>
      <c r="H9302" s="3" t="inlineStr">
        <is>
          <t>계획관리지역</t>
        </is>
      </c>
      <c r="I9302" s="3" t="inlineStr">
        <is>
          <t>전</t>
        </is>
      </c>
      <c r="J9302" s="3" t="inlineStr">
        <is>
          <t>유구읍</t>
        </is>
      </c>
    </row>
    <row r="9303">
      <c r="A9303" s="3" t="n">
        <v>2022</v>
      </c>
      <c r="B9303" s="4" t="n">
        <v>1900</v>
      </c>
      <c r="C9303" s="4" t="n">
        <v>133</v>
      </c>
      <c r="D9303" s="4" t="n">
        <v>40.2325</v>
      </c>
      <c r="E9303" s="5" t="n">
        <v>47.2</v>
      </c>
      <c r="F9303" s="3" t="inlineStr">
        <is>
          <t>유구읍</t>
        </is>
      </c>
      <c r="G9303" s="3" t="inlineStr">
        <is>
          <t>유구리</t>
        </is>
      </c>
      <c r="H9303" s="3" t="inlineStr">
        <is>
          <t>제2종일반주거지역</t>
        </is>
      </c>
      <c r="I9303" s="3" t="inlineStr">
        <is>
          <t>대</t>
        </is>
      </c>
      <c r="J9303" s="3" t="inlineStr">
        <is>
          <t>유구읍</t>
        </is>
      </c>
    </row>
    <row r="9304">
      <c r="A9304" s="3" t="n">
        <v>2022</v>
      </c>
      <c r="B9304" s="4" t="n">
        <v>1345</v>
      </c>
      <c r="C9304" s="4" t="n">
        <v>446</v>
      </c>
      <c r="D9304" s="4" t="n">
        <v>134.915</v>
      </c>
      <c r="E9304" s="5" t="n">
        <v>10</v>
      </c>
      <c r="F9304" s="3" t="inlineStr">
        <is>
          <t>유구읍</t>
        </is>
      </c>
      <c r="G9304" s="3" t="inlineStr">
        <is>
          <t>유구리</t>
        </is>
      </c>
      <c r="H9304" s="3" t="inlineStr">
        <is>
          <t>계획관리지역</t>
        </is>
      </c>
      <c r="I9304" s="3" t="inlineStr">
        <is>
          <t>대</t>
        </is>
      </c>
      <c r="J9304" s="3" t="inlineStr">
        <is>
          <t>유구읍</t>
        </is>
      </c>
    </row>
    <row r="9305">
      <c r="A9305" s="3" t="n">
        <v>2022</v>
      </c>
      <c r="B9305" s="4" t="n">
        <v>4030</v>
      </c>
      <c r="C9305" s="4" t="n">
        <v>1337</v>
      </c>
      <c r="D9305" s="4" t="n">
        <v>404.4425</v>
      </c>
      <c r="E9305" s="5" t="n">
        <v>10</v>
      </c>
      <c r="F9305" s="3" t="inlineStr">
        <is>
          <t>유구읍</t>
        </is>
      </c>
      <c r="G9305" s="3" t="inlineStr">
        <is>
          <t>유구리</t>
        </is>
      </c>
      <c r="H9305" s="3" t="inlineStr">
        <is>
          <t>계획관리지역</t>
        </is>
      </c>
      <c r="I9305" s="3" t="inlineStr">
        <is>
          <t>전</t>
        </is>
      </c>
      <c r="J9305" s="3" t="inlineStr">
        <is>
          <t>유구읍</t>
        </is>
      </c>
    </row>
    <row r="9306">
      <c r="A9306" s="3" t="n">
        <v>2022</v>
      </c>
      <c r="B9306" s="4" t="n">
        <v>925</v>
      </c>
      <c r="C9306" s="4" t="n">
        <v>307</v>
      </c>
      <c r="D9306" s="4" t="n">
        <v>92.86749999999999</v>
      </c>
      <c r="E9306" s="5" t="n">
        <v>10</v>
      </c>
      <c r="F9306" s="3" t="inlineStr">
        <is>
          <t>유구읍</t>
        </is>
      </c>
      <c r="G9306" s="3" t="inlineStr">
        <is>
          <t>유구리</t>
        </is>
      </c>
      <c r="H9306" s="3" t="inlineStr">
        <is>
          <t>계획관리지역</t>
        </is>
      </c>
      <c r="I9306" s="3" t="inlineStr">
        <is>
          <t>대</t>
        </is>
      </c>
      <c r="J9306" s="3" t="inlineStr">
        <is>
          <t>유구읍</t>
        </is>
      </c>
    </row>
    <row r="9307">
      <c r="A9307" s="3" t="n">
        <v>2022</v>
      </c>
      <c r="B9307" s="4" t="n">
        <v>500</v>
      </c>
      <c r="C9307" s="4" t="n">
        <v>264</v>
      </c>
      <c r="D9307" s="4" t="n">
        <v>79.86</v>
      </c>
      <c r="E9307" s="5" t="n">
        <v>6.3</v>
      </c>
      <c r="F9307" s="3" t="inlineStr">
        <is>
          <t>유구읍</t>
        </is>
      </c>
      <c r="G9307" s="3" t="inlineStr">
        <is>
          <t>문금리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유구읍</t>
        </is>
      </c>
    </row>
    <row r="9308">
      <c r="A9308" s="3" t="n">
        <v>2022</v>
      </c>
      <c r="B9308" s="4" t="n">
        <v>1100</v>
      </c>
      <c r="C9308" s="4" t="n">
        <v>195</v>
      </c>
      <c r="D9308" s="4" t="n">
        <v>58.9875</v>
      </c>
      <c r="E9308" s="5" t="n">
        <v>18.6</v>
      </c>
      <c r="F9308" s="3" t="inlineStr">
        <is>
          <t>유구읍</t>
        </is>
      </c>
      <c r="G9308" s="3" t="inlineStr">
        <is>
          <t>유구리</t>
        </is>
      </c>
      <c r="H9308" s="3" t="inlineStr">
        <is>
          <t>계획관리지역</t>
        </is>
      </c>
      <c r="I9308" s="3" t="inlineStr">
        <is>
          <t>구거</t>
        </is>
      </c>
      <c r="J9308" s="3" t="inlineStr">
        <is>
          <t>유구읍</t>
        </is>
      </c>
    </row>
    <row r="9309">
      <c r="A9309" s="3" t="n">
        <v>2022</v>
      </c>
      <c r="B9309" s="4" t="n">
        <v>11950</v>
      </c>
      <c r="C9309" s="4" t="n">
        <v>1070</v>
      </c>
      <c r="D9309" s="4" t="n">
        <v>323.675</v>
      </c>
      <c r="E9309" s="5" t="n">
        <v>36.9</v>
      </c>
      <c r="F9309" s="3" t="inlineStr">
        <is>
          <t>유구읍</t>
        </is>
      </c>
      <c r="G9309" s="3" t="inlineStr">
        <is>
          <t>백교리</t>
        </is>
      </c>
      <c r="H9309" s="3" t="inlineStr">
        <is>
          <t>자연녹지지역</t>
        </is>
      </c>
      <c r="I9309" s="3" t="inlineStr">
        <is>
          <t>임야</t>
        </is>
      </c>
      <c r="J9309" s="3" t="inlineStr">
        <is>
          <t>유구읍</t>
        </is>
      </c>
    </row>
    <row r="9310">
      <c r="A9310" s="3" t="n">
        <v>2022</v>
      </c>
      <c r="B9310" s="4" t="n">
        <v>300</v>
      </c>
      <c r="C9310" s="4" t="n">
        <v>132</v>
      </c>
      <c r="D9310" s="4" t="n">
        <v>39.93</v>
      </c>
      <c r="E9310" s="5" t="n">
        <v>7.5</v>
      </c>
      <c r="F9310" s="3" t="inlineStr">
        <is>
          <t>유구읍</t>
        </is>
      </c>
      <c r="G9310" s="3" t="inlineStr">
        <is>
          <t>동해리</t>
        </is>
      </c>
      <c r="H9310" s="3" t="inlineStr">
        <is>
          <t>계획관리지역</t>
        </is>
      </c>
      <c r="I9310" s="3" t="inlineStr">
        <is>
          <t>대</t>
        </is>
      </c>
      <c r="J9310" s="3" t="inlineStr">
        <is>
          <t>유구읍</t>
        </is>
      </c>
    </row>
    <row r="9311">
      <c r="A9311" s="3" t="n">
        <v>2023</v>
      </c>
      <c r="B9311" s="4" t="n">
        <v>2300</v>
      </c>
      <c r="C9311" s="4" t="n">
        <v>4631</v>
      </c>
      <c r="D9311" s="4" t="n">
        <v>1400.8775</v>
      </c>
      <c r="E9311" s="5" t="n">
        <v>1.6</v>
      </c>
      <c r="F9311" s="3" t="inlineStr">
        <is>
          <t>유구읍</t>
        </is>
      </c>
      <c r="G9311" s="3" t="inlineStr">
        <is>
          <t>추계리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유구읍</t>
        </is>
      </c>
    </row>
    <row r="9312">
      <c r="A9312" s="3" t="n">
        <v>2023</v>
      </c>
      <c r="B9312" s="4" t="n">
        <v>2000</v>
      </c>
      <c r="C9312" s="4" t="n">
        <v>820</v>
      </c>
      <c r="D9312" s="4" t="n">
        <v>248.05</v>
      </c>
      <c r="E9312" s="5" t="n">
        <v>8.1</v>
      </c>
      <c r="F9312" s="3" t="inlineStr">
        <is>
          <t>유구읍</t>
        </is>
      </c>
      <c r="G9312" s="3" t="inlineStr">
        <is>
          <t>명곡리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유구읍</t>
        </is>
      </c>
    </row>
    <row r="9313">
      <c r="A9313" s="3" t="n">
        <v>2023</v>
      </c>
      <c r="B9313" s="4" t="n">
        <v>770</v>
      </c>
      <c r="C9313" s="4" t="n">
        <v>793</v>
      </c>
      <c r="D9313" s="4" t="n">
        <v>239.8825</v>
      </c>
      <c r="E9313" s="5" t="n">
        <v>3.2</v>
      </c>
      <c r="F9313" s="3" t="inlineStr">
        <is>
          <t>유구읍</t>
        </is>
      </c>
      <c r="G9313" s="3" t="inlineStr">
        <is>
          <t>명곡리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유구읍</t>
        </is>
      </c>
    </row>
    <row r="9314">
      <c r="A9314" s="3" t="n">
        <v>2023</v>
      </c>
      <c r="B9314" s="4" t="n">
        <v>2230</v>
      </c>
      <c r="C9314" s="4" t="n">
        <v>2281</v>
      </c>
      <c r="D9314" s="4" t="n">
        <v>690.0024999999999</v>
      </c>
      <c r="E9314" s="5" t="n">
        <v>3.2</v>
      </c>
      <c r="F9314" s="3" t="inlineStr">
        <is>
          <t>유구읍</t>
        </is>
      </c>
      <c r="G9314" s="3" t="inlineStr">
        <is>
          <t>명곡리</t>
        </is>
      </c>
      <c r="H9314" s="3" t="inlineStr">
        <is>
          <t>계획관리지역</t>
        </is>
      </c>
      <c r="I9314" s="3" t="inlineStr">
        <is>
          <t>임야</t>
        </is>
      </c>
      <c r="J9314" s="3" t="inlineStr">
        <is>
          <t>유구읍</t>
        </is>
      </c>
    </row>
    <row r="9315">
      <c r="A9315" s="3" t="n">
        <v>2023</v>
      </c>
      <c r="B9315" s="4" t="n">
        <v>4000</v>
      </c>
      <c r="C9315" s="4" t="n">
        <v>459</v>
      </c>
      <c r="D9315" s="4" t="n">
        <v>138.8475</v>
      </c>
      <c r="E9315" s="5" t="n">
        <v>28.8</v>
      </c>
      <c r="F9315" s="3" t="inlineStr">
        <is>
          <t>유구읍</t>
        </is>
      </c>
      <c r="G9315" s="3" t="inlineStr">
        <is>
          <t>세동리</t>
        </is>
      </c>
      <c r="H9315" s="3" t="inlineStr">
        <is>
          <t>계획관리지역</t>
        </is>
      </c>
      <c r="I9315" s="3" t="inlineStr">
        <is>
          <t>대</t>
        </is>
      </c>
      <c r="J9315" s="3" t="inlineStr">
        <is>
          <t>유구읍</t>
        </is>
      </c>
    </row>
    <row r="9316">
      <c r="A9316" s="3" t="n">
        <v>2023</v>
      </c>
      <c r="B9316" s="4" t="n">
        <v>1000</v>
      </c>
      <c r="C9316" s="4" t="n">
        <v>357</v>
      </c>
      <c r="D9316" s="4" t="n">
        <v>107.9925</v>
      </c>
      <c r="E9316" s="5" t="n">
        <v>9.300000000000001</v>
      </c>
      <c r="F9316" s="3" t="inlineStr">
        <is>
          <t>유구읍</t>
        </is>
      </c>
      <c r="G9316" s="3" t="inlineStr">
        <is>
          <t>녹천리</t>
        </is>
      </c>
      <c r="H9316" s="3" t="inlineStr">
        <is>
          <t>계획관리지역</t>
        </is>
      </c>
      <c r="I9316" s="3" t="inlineStr">
        <is>
          <t>전</t>
        </is>
      </c>
      <c r="J9316" s="3" t="inlineStr">
        <is>
          <t>유구읍</t>
        </is>
      </c>
    </row>
    <row r="9317">
      <c r="A9317" s="3" t="n">
        <v>2022</v>
      </c>
      <c r="B9317" s="4" t="n">
        <v>10200</v>
      </c>
      <c r="C9317" s="4" t="n">
        <v>392</v>
      </c>
      <c r="D9317" s="4" t="n">
        <v>118.58</v>
      </c>
      <c r="E9317" s="5" t="n">
        <v>86</v>
      </c>
      <c r="F9317" s="3" t="inlineStr">
        <is>
          <t>유구읍</t>
        </is>
      </c>
      <c r="G9317" s="3" t="inlineStr">
        <is>
          <t>석남리</t>
        </is>
      </c>
      <c r="H9317" s="3" t="inlineStr">
        <is>
          <t>제2종일반주거지역</t>
        </is>
      </c>
      <c r="I9317" s="3" t="inlineStr">
        <is>
          <t>대</t>
        </is>
      </c>
      <c r="J9317" s="3" t="inlineStr">
        <is>
          <t>유구읍</t>
        </is>
      </c>
    </row>
    <row r="9318">
      <c r="A9318" s="3" t="n">
        <v>2022</v>
      </c>
      <c r="B9318" s="4" t="n">
        <v>800</v>
      </c>
      <c r="C9318" s="4" t="n">
        <v>44</v>
      </c>
      <c r="D9318" s="4" t="n">
        <v>13.31</v>
      </c>
      <c r="E9318" s="5" t="n">
        <v>60.1</v>
      </c>
      <c r="F9318" s="3" t="inlineStr">
        <is>
          <t>유구읍</t>
        </is>
      </c>
      <c r="G9318" s="3" t="inlineStr">
        <is>
          <t>석남리</t>
        </is>
      </c>
      <c r="H9318" s="3" t="inlineStr">
        <is>
          <t>제2종일반주거지역</t>
        </is>
      </c>
      <c r="I9318" s="3" t="inlineStr">
        <is>
          <t>대</t>
        </is>
      </c>
      <c r="J9318" s="3" t="inlineStr">
        <is>
          <t>유구읍</t>
        </is>
      </c>
    </row>
    <row r="9319">
      <c r="A9319" s="3" t="n">
        <v>2022</v>
      </c>
      <c r="B9319" s="4" t="n">
        <v>10000</v>
      </c>
      <c r="C9319" s="4" t="n">
        <v>1628</v>
      </c>
      <c r="D9319" s="4" t="n">
        <v>492.47</v>
      </c>
      <c r="E9319" s="5" t="n">
        <v>20.3</v>
      </c>
      <c r="F9319" s="3" t="inlineStr">
        <is>
          <t>유구읍</t>
        </is>
      </c>
      <c r="G9319" s="3" t="inlineStr">
        <is>
          <t>유구리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유구읍</t>
        </is>
      </c>
    </row>
    <row r="9320">
      <c r="A9320" s="3" t="n">
        <v>2022</v>
      </c>
      <c r="B9320" s="4" t="n">
        <v>14503</v>
      </c>
      <c r="C9320" s="4" t="n">
        <v>2422</v>
      </c>
      <c r="D9320" s="4" t="n">
        <v>732.655</v>
      </c>
      <c r="E9320" s="5" t="n">
        <v>19.8</v>
      </c>
      <c r="F9320" s="3" t="inlineStr">
        <is>
          <t>유구읍</t>
        </is>
      </c>
      <c r="G9320" s="3" t="inlineStr">
        <is>
          <t>유구리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유구읍</t>
        </is>
      </c>
    </row>
    <row r="9321">
      <c r="A9321" s="3" t="n">
        <v>2022</v>
      </c>
      <c r="B9321" s="4" t="n">
        <v>8190</v>
      </c>
      <c r="C9321" s="4" t="n">
        <v>1042</v>
      </c>
      <c r="D9321" s="4" t="n">
        <v>315.205</v>
      </c>
      <c r="E9321" s="5" t="n">
        <v>26</v>
      </c>
      <c r="F9321" s="3" t="inlineStr">
        <is>
          <t>유구읍</t>
        </is>
      </c>
      <c r="G9321" s="3" t="inlineStr">
        <is>
          <t>신달리</t>
        </is>
      </c>
      <c r="H9321" s="3" t="inlineStr">
        <is>
          <t>보전관리지역</t>
        </is>
      </c>
      <c r="I9321" s="3" t="inlineStr">
        <is>
          <t>답</t>
        </is>
      </c>
      <c r="J9321" s="3" t="inlineStr">
        <is>
          <t>유구읍</t>
        </is>
      </c>
    </row>
    <row r="9322">
      <c r="A9322" s="3" t="n">
        <v>2022</v>
      </c>
      <c r="B9322" s="4" t="n">
        <v>1737</v>
      </c>
      <c r="C9322" s="4" t="n">
        <v>73</v>
      </c>
      <c r="D9322" s="4" t="n">
        <v>22.0825</v>
      </c>
      <c r="E9322" s="5" t="n">
        <v>78.7</v>
      </c>
      <c r="F9322" s="3" t="inlineStr">
        <is>
          <t>유구읍</t>
        </is>
      </c>
      <c r="G9322" s="3" t="inlineStr">
        <is>
          <t>백교리</t>
        </is>
      </c>
      <c r="H9322" s="3" t="inlineStr">
        <is>
          <t>자연녹지지역</t>
        </is>
      </c>
      <c r="I9322" s="3" t="inlineStr">
        <is>
          <t>전</t>
        </is>
      </c>
      <c r="J9322" s="3" t="inlineStr">
        <is>
          <t>유구읍</t>
        </is>
      </c>
    </row>
    <row r="9323">
      <c r="A9323" s="3" t="n">
        <v>2022</v>
      </c>
      <c r="B9323" s="4" t="n">
        <v>190</v>
      </c>
      <c r="C9323" s="4" t="n">
        <v>5</v>
      </c>
      <c r="D9323" s="4" t="n">
        <v>1.5125</v>
      </c>
      <c r="E9323" s="5" t="n">
        <v>125.6</v>
      </c>
      <c r="F9323" s="3" t="inlineStr">
        <is>
          <t>유구읍</t>
        </is>
      </c>
      <c r="G9323" s="3" t="inlineStr">
        <is>
          <t>백교리</t>
        </is>
      </c>
      <c r="H9323" s="3" t="inlineStr">
        <is>
          <t>제2종일반주거지역</t>
        </is>
      </c>
      <c r="I9323" s="3" t="inlineStr">
        <is>
          <t>대</t>
        </is>
      </c>
      <c r="J9323" s="3" t="inlineStr">
        <is>
          <t>유구읍</t>
        </is>
      </c>
    </row>
    <row r="9324">
      <c r="A9324" s="3" t="n">
        <v>2022</v>
      </c>
      <c r="B9324" s="4" t="n">
        <v>300</v>
      </c>
      <c r="C9324" s="4" t="n">
        <v>132</v>
      </c>
      <c r="D9324" s="4" t="n">
        <v>39.93</v>
      </c>
      <c r="E9324" s="5" t="n">
        <v>7.5</v>
      </c>
      <c r="F9324" s="3" t="inlineStr">
        <is>
          <t>유구읍</t>
        </is>
      </c>
      <c r="G9324" s="3" t="inlineStr">
        <is>
          <t>동해리</t>
        </is>
      </c>
      <c r="H9324" s="3" t="inlineStr">
        <is>
          <t>계획관리지역</t>
        </is>
      </c>
      <c r="I9324" s="3" t="inlineStr">
        <is>
          <t>대</t>
        </is>
      </c>
      <c r="J9324" s="3" t="inlineStr">
        <is>
          <t>유구읍</t>
        </is>
      </c>
    </row>
    <row r="9325">
      <c r="A9325" s="3" t="n">
        <v>2022</v>
      </c>
      <c r="B9325" s="4" t="n">
        <v>5000</v>
      </c>
      <c r="C9325" s="4" t="n">
        <v>1462</v>
      </c>
      <c r="D9325" s="4" t="n">
        <v>442.255</v>
      </c>
      <c r="E9325" s="5" t="n">
        <v>11.3</v>
      </c>
      <c r="F9325" s="3" t="inlineStr">
        <is>
          <t>유구읍</t>
        </is>
      </c>
      <c r="G9325" s="3" t="inlineStr">
        <is>
          <t>입석리</t>
        </is>
      </c>
      <c r="H9325" s="3" t="inlineStr">
        <is>
          <t>농림지역</t>
        </is>
      </c>
      <c r="I9325" s="3" t="inlineStr">
        <is>
          <t>답</t>
        </is>
      </c>
      <c r="J9325" s="3" t="inlineStr">
        <is>
          <t>유구읍</t>
        </is>
      </c>
    </row>
    <row r="9326">
      <c r="A9326" s="3" t="n">
        <v>2022</v>
      </c>
      <c r="B9326" s="4" t="n">
        <v>30700</v>
      </c>
      <c r="C9326" s="4" t="n">
        <v>15074</v>
      </c>
      <c r="D9326" s="4" t="n">
        <v>4559.885</v>
      </c>
      <c r="E9326" s="5" t="n">
        <v>6.7</v>
      </c>
      <c r="F9326" s="3" t="inlineStr">
        <is>
          <t>유구읍</t>
        </is>
      </c>
      <c r="G9326" s="3" t="inlineStr">
        <is>
          <t>동해리</t>
        </is>
      </c>
      <c r="H9326" s="3" t="inlineStr">
        <is>
          <t>계획관리지역</t>
        </is>
      </c>
      <c r="I9326" s="3" t="inlineStr">
        <is>
          <t>임야</t>
        </is>
      </c>
      <c r="J9326" s="3" t="inlineStr">
        <is>
          <t>유구읍</t>
        </is>
      </c>
    </row>
    <row r="9327">
      <c r="A9327" s="3" t="n">
        <v>2022</v>
      </c>
      <c r="B9327" s="4" t="n">
        <v>6027</v>
      </c>
      <c r="C9327" s="4" t="n">
        <v>25114</v>
      </c>
      <c r="D9327" s="4" t="n">
        <v>7596.985</v>
      </c>
      <c r="E9327" s="5" t="n">
        <v>0.8</v>
      </c>
      <c r="F9327" s="3" t="inlineStr">
        <is>
          <t>유구읍</t>
        </is>
      </c>
      <c r="G9327" s="3" t="inlineStr">
        <is>
          <t>입석리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유구읍</t>
        </is>
      </c>
    </row>
    <row r="9328">
      <c r="A9328" s="3" t="n">
        <v>2023</v>
      </c>
      <c r="B9328" s="4" t="n">
        <v>1500</v>
      </c>
      <c r="C9328" s="4" t="n">
        <v>155</v>
      </c>
      <c r="D9328" s="4" t="n">
        <v>46.8875</v>
      </c>
      <c r="E9328" s="5" t="n">
        <v>32</v>
      </c>
      <c r="F9328" s="3" t="inlineStr">
        <is>
          <t>유구읍</t>
        </is>
      </c>
      <c r="G9328" s="3" t="inlineStr">
        <is>
          <t>녹천리</t>
        </is>
      </c>
      <c r="H9328" s="3" t="inlineStr">
        <is>
          <t>자연녹지지역</t>
        </is>
      </c>
      <c r="I9328" s="3" t="inlineStr">
        <is>
          <t>전</t>
        </is>
      </c>
      <c r="J9328" s="3" t="inlineStr">
        <is>
          <t>유구읍</t>
        </is>
      </c>
    </row>
    <row r="9329">
      <c r="A9329" s="3" t="n">
        <v>2023</v>
      </c>
      <c r="B9329" s="4" t="n">
        <v>1500</v>
      </c>
      <c r="C9329" s="4" t="n">
        <v>347</v>
      </c>
      <c r="D9329" s="4" t="n">
        <v>104.9675</v>
      </c>
      <c r="E9329" s="5" t="n">
        <v>14.3</v>
      </c>
      <c r="F9329" s="3" t="inlineStr">
        <is>
          <t>유구읍</t>
        </is>
      </c>
      <c r="G9329" s="3" t="inlineStr">
        <is>
          <t>녹천리</t>
        </is>
      </c>
      <c r="H9329" s="3" t="inlineStr">
        <is>
          <t>자연녹지지역</t>
        </is>
      </c>
      <c r="I9329" s="3" t="inlineStr">
        <is>
          <t>전</t>
        </is>
      </c>
      <c r="J9329" s="3" t="inlineStr">
        <is>
          <t>유구읍</t>
        </is>
      </c>
    </row>
    <row r="9330">
      <c r="A9330" s="3" t="n">
        <v>2023</v>
      </c>
      <c r="B9330" s="4" t="n">
        <v>1800</v>
      </c>
      <c r="C9330" s="4" t="n">
        <v>1698</v>
      </c>
      <c r="D9330" s="4" t="n">
        <v>513.645</v>
      </c>
      <c r="E9330" s="5" t="n">
        <v>3.5</v>
      </c>
      <c r="F9330" s="3" t="inlineStr">
        <is>
          <t>유구읍</t>
        </is>
      </c>
      <c r="G9330" s="3" t="inlineStr">
        <is>
          <t>추계리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유구읍</t>
        </is>
      </c>
    </row>
    <row r="9331">
      <c r="A9331" s="3" t="n">
        <v>2023</v>
      </c>
      <c r="B9331" s="4" t="n">
        <v>2607</v>
      </c>
      <c r="C9331" s="4" t="n">
        <v>1617</v>
      </c>
      <c r="D9331" s="4" t="n">
        <v>489.1425</v>
      </c>
      <c r="E9331" s="5" t="n">
        <v>5.3</v>
      </c>
      <c r="F9331" s="3" t="inlineStr">
        <is>
          <t>유구읍</t>
        </is>
      </c>
      <c r="G9331" s="3" t="inlineStr">
        <is>
          <t>노동리</t>
        </is>
      </c>
      <c r="H9331" s="3" t="inlineStr">
        <is>
          <t>계획관리지역</t>
        </is>
      </c>
      <c r="I9331" s="3" t="inlineStr">
        <is>
          <t>답</t>
        </is>
      </c>
      <c r="J9331" s="3" t="inlineStr">
        <is>
          <t>유구읍</t>
        </is>
      </c>
    </row>
    <row r="9332">
      <c r="A9332" s="3" t="n">
        <v>2023</v>
      </c>
      <c r="B9332" s="4" t="n">
        <v>1343</v>
      </c>
      <c r="C9332" s="4" t="n">
        <v>833</v>
      </c>
      <c r="D9332" s="4" t="n">
        <v>251.9825</v>
      </c>
      <c r="E9332" s="5" t="n">
        <v>5.3</v>
      </c>
      <c r="F9332" s="3" t="inlineStr">
        <is>
          <t>유구읍</t>
        </is>
      </c>
      <c r="G9332" s="3" t="inlineStr">
        <is>
          <t>노동리</t>
        </is>
      </c>
      <c r="H9332" s="3" t="inlineStr">
        <is>
          <t>계획관리지역</t>
        </is>
      </c>
      <c r="I9332" s="3" t="inlineStr">
        <is>
          <t>답</t>
        </is>
      </c>
      <c r="J9332" s="3" t="inlineStr">
        <is>
          <t>유구읍</t>
        </is>
      </c>
    </row>
    <row r="9333">
      <c r="A9333" s="3" t="n">
        <v>2023</v>
      </c>
      <c r="B9333" s="4" t="n">
        <v>600</v>
      </c>
      <c r="C9333" s="4" t="n">
        <v>179</v>
      </c>
      <c r="D9333" s="4" t="n">
        <v>54.1475</v>
      </c>
      <c r="E9333" s="5" t="n">
        <v>11.1</v>
      </c>
      <c r="F9333" s="3" t="inlineStr">
        <is>
          <t>유구읍</t>
        </is>
      </c>
      <c r="G9333" s="3" t="inlineStr">
        <is>
          <t>노동리</t>
        </is>
      </c>
      <c r="H9333" s="3" t="inlineStr">
        <is>
          <t>계획관리지역</t>
        </is>
      </c>
      <c r="I9333" s="3" t="inlineStr">
        <is>
          <t>대</t>
        </is>
      </c>
      <c r="J9333" s="3" t="inlineStr">
        <is>
          <t>유구읍</t>
        </is>
      </c>
    </row>
    <row r="9334">
      <c r="A9334" s="3" t="n">
        <v>2023</v>
      </c>
      <c r="B9334" s="4" t="n">
        <v>14000</v>
      </c>
      <c r="C9334" s="4" t="n">
        <v>4460</v>
      </c>
      <c r="D9334" s="4" t="n">
        <v>1349.15</v>
      </c>
      <c r="E9334" s="5" t="n">
        <v>10.4</v>
      </c>
      <c r="F9334" s="3" t="inlineStr">
        <is>
          <t>유구읍</t>
        </is>
      </c>
      <c r="G9334" s="3" t="inlineStr">
        <is>
          <t>명곡리</t>
        </is>
      </c>
      <c r="H9334" s="3" t="inlineStr">
        <is>
          <t>농림지역</t>
        </is>
      </c>
      <c r="I9334" s="3" t="inlineStr">
        <is>
          <t>전</t>
        </is>
      </c>
      <c r="J9334" s="3" t="inlineStr">
        <is>
          <t>유구읍</t>
        </is>
      </c>
    </row>
    <row r="9335">
      <c r="A9335" s="3" t="n">
        <v>2023</v>
      </c>
      <c r="B9335" s="4" t="n">
        <v>35000</v>
      </c>
      <c r="C9335" s="4" t="n">
        <v>6011</v>
      </c>
      <c r="D9335" s="4" t="n">
        <v>1818.3275</v>
      </c>
      <c r="E9335" s="5" t="n">
        <v>19.2</v>
      </c>
      <c r="F9335" s="3" t="inlineStr">
        <is>
          <t>유구읍</t>
        </is>
      </c>
      <c r="G9335" s="3" t="inlineStr">
        <is>
          <t>녹천리</t>
        </is>
      </c>
      <c r="H9335" s="3" t="inlineStr">
        <is>
          <t>계획관리지역</t>
        </is>
      </c>
      <c r="I9335" s="3" t="inlineStr">
        <is>
          <t>임야</t>
        </is>
      </c>
      <c r="J9335" s="3" t="inlineStr">
        <is>
          <t>유구읍</t>
        </is>
      </c>
    </row>
    <row r="9336">
      <c r="A9336" s="3" t="n">
        <v>2023</v>
      </c>
      <c r="B9336" s="4" t="n">
        <v>2500</v>
      </c>
      <c r="C9336" s="4" t="n">
        <v>625</v>
      </c>
      <c r="D9336" s="4" t="n">
        <v>189.0625</v>
      </c>
      <c r="E9336" s="5" t="n">
        <v>13.2</v>
      </c>
      <c r="F9336" s="3" t="inlineStr">
        <is>
          <t>유구읍</t>
        </is>
      </c>
      <c r="G9336" s="3" t="inlineStr">
        <is>
          <t>덕곡리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유구읍</t>
        </is>
      </c>
    </row>
    <row r="9337">
      <c r="A9337" s="3" t="n">
        <v>2023</v>
      </c>
      <c r="B9337" s="4" t="n">
        <v>15500</v>
      </c>
      <c r="C9337" s="4" t="n">
        <v>1967</v>
      </c>
      <c r="D9337" s="4" t="n">
        <v>595.0174999999999</v>
      </c>
      <c r="E9337" s="5" t="n">
        <v>26</v>
      </c>
      <c r="F9337" s="3" t="inlineStr">
        <is>
          <t>유구읍</t>
        </is>
      </c>
      <c r="G9337" s="3" t="inlineStr">
        <is>
          <t>덕곡리</t>
        </is>
      </c>
      <c r="H9337" s="3" t="inlineStr">
        <is>
          <t>보전관리지역</t>
        </is>
      </c>
      <c r="I9337" s="3" t="inlineStr">
        <is>
          <t>전</t>
        </is>
      </c>
      <c r="J9337" s="3" t="inlineStr">
        <is>
          <t>유구읍</t>
        </is>
      </c>
    </row>
    <row r="9338">
      <c r="A9338" s="3" t="n">
        <v>2023</v>
      </c>
      <c r="B9338" s="4" t="n">
        <v>1200</v>
      </c>
      <c r="C9338" s="4" t="n">
        <v>354</v>
      </c>
      <c r="D9338" s="4" t="n">
        <v>107.085</v>
      </c>
      <c r="E9338" s="5" t="n">
        <v>11.2</v>
      </c>
      <c r="F9338" s="3" t="inlineStr">
        <is>
          <t>유구읍</t>
        </is>
      </c>
      <c r="G9338" s="3" t="inlineStr">
        <is>
          <t>명곡리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유구읍</t>
        </is>
      </c>
    </row>
    <row r="9339">
      <c r="A9339" s="3" t="n">
        <v>2023</v>
      </c>
      <c r="B9339" s="4" t="n">
        <v>150</v>
      </c>
      <c r="C9339" s="4" t="n">
        <v>48</v>
      </c>
      <c r="D9339" s="4" t="n">
        <v>14.52</v>
      </c>
      <c r="E9339" s="5" t="n">
        <v>10.3</v>
      </c>
      <c r="F9339" s="3" t="inlineStr">
        <is>
          <t>유구읍</t>
        </is>
      </c>
      <c r="G9339" s="3" t="inlineStr">
        <is>
          <t>문금리</t>
        </is>
      </c>
      <c r="H9339" s="3" t="inlineStr">
        <is>
          <t>계획관리지역</t>
        </is>
      </c>
      <c r="I9339" s="3" t="inlineStr">
        <is>
          <t>답</t>
        </is>
      </c>
      <c r="J9339" s="3" t="inlineStr">
        <is>
          <t>유구읍</t>
        </is>
      </c>
    </row>
    <row r="9340">
      <c r="A9340" s="3" t="n">
        <v>2023</v>
      </c>
      <c r="B9340" s="4" t="n">
        <v>300</v>
      </c>
      <c r="C9340" s="4" t="n">
        <v>68</v>
      </c>
      <c r="D9340" s="4" t="n">
        <v>20.57</v>
      </c>
      <c r="E9340" s="5" t="n">
        <v>14.6</v>
      </c>
      <c r="F9340" s="3" t="inlineStr">
        <is>
          <t>유구읍</t>
        </is>
      </c>
      <c r="G9340" s="3" t="inlineStr">
        <is>
          <t>문금리</t>
        </is>
      </c>
      <c r="H9340" s="3" t="inlineStr">
        <is>
          <t>계획관리지역</t>
        </is>
      </c>
      <c r="I9340" s="3" t="inlineStr">
        <is>
          <t>답</t>
        </is>
      </c>
      <c r="J9340" s="3" t="inlineStr">
        <is>
          <t>유구읍</t>
        </is>
      </c>
    </row>
    <row r="9341">
      <c r="A9341" s="3" t="n">
        <v>2023</v>
      </c>
      <c r="B9341" s="4" t="n">
        <v>900</v>
      </c>
      <c r="C9341" s="4" t="n">
        <v>202</v>
      </c>
      <c r="D9341" s="4" t="n">
        <v>61.105</v>
      </c>
      <c r="E9341" s="5" t="n">
        <v>14.7</v>
      </c>
      <c r="F9341" s="3" t="inlineStr">
        <is>
          <t>유구읍</t>
        </is>
      </c>
      <c r="G9341" s="3" t="inlineStr">
        <is>
          <t>문금리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유구읍</t>
        </is>
      </c>
    </row>
    <row r="9342">
      <c r="A9342" s="3" t="n">
        <v>2023</v>
      </c>
      <c r="B9342" s="4" t="n">
        <v>1300</v>
      </c>
      <c r="C9342" s="4" t="n">
        <v>273</v>
      </c>
      <c r="D9342" s="4" t="n">
        <v>82.5825</v>
      </c>
      <c r="E9342" s="5" t="n">
        <v>15.7</v>
      </c>
      <c r="F9342" s="3" t="inlineStr">
        <is>
          <t>유구읍</t>
        </is>
      </c>
      <c r="G9342" s="3" t="inlineStr">
        <is>
          <t>문금리</t>
        </is>
      </c>
      <c r="H9342" s="3" t="inlineStr">
        <is>
          <t>계획관리지역</t>
        </is>
      </c>
      <c r="I9342" s="3" t="inlineStr">
        <is>
          <t>전</t>
        </is>
      </c>
      <c r="J9342" s="3" t="inlineStr">
        <is>
          <t>유구읍</t>
        </is>
      </c>
    </row>
    <row r="9343">
      <c r="A9343" s="3" t="n">
        <v>2023</v>
      </c>
      <c r="B9343" s="4" t="n">
        <v>3600</v>
      </c>
      <c r="C9343" s="4" t="n">
        <v>778</v>
      </c>
      <c r="D9343" s="4" t="n">
        <v>235.345</v>
      </c>
      <c r="E9343" s="5" t="n">
        <v>15.3</v>
      </c>
      <c r="F9343" s="3" t="inlineStr">
        <is>
          <t>유구읍</t>
        </is>
      </c>
      <c r="G9343" s="3" t="inlineStr">
        <is>
          <t>추계리</t>
        </is>
      </c>
      <c r="H9343" s="3" t="inlineStr">
        <is>
          <t>보전관리지역</t>
        </is>
      </c>
      <c r="I9343" s="3" t="inlineStr">
        <is>
          <t>답</t>
        </is>
      </c>
      <c r="J9343" s="3" t="inlineStr">
        <is>
          <t>유구읍</t>
        </is>
      </c>
    </row>
    <row r="9344">
      <c r="A9344" s="3" t="n">
        <v>2023</v>
      </c>
      <c r="B9344" s="4" t="n">
        <v>9200</v>
      </c>
      <c r="C9344" s="4" t="n">
        <v>1681</v>
      </c>
      <c r="D9344" s="4" t="n">
        <v>508.5025</v>
      </c>
      <c r="E9344" s="5" t="n">
        <v>18.1</v>
      </c>
      <c r="F9344" s="3" t="inlineStr">
        <is>
          <t>유구읍</t>
        </is>
      </c>
      <c r="G9344" s="3" t="inlineStr">
        <is>
          <t>추계리</t>
        </is>
      </c>
      <c r="H9344" s="3" t="inlineStr">
        <is>
          <t>보전관리지역</t>
        </is>
      </c>
      <c r="I9344" s="3" t="inlineStr">
        <is>
          <t>전</t>
        </is>
      </c>
      <c r="J9344" s="3" t="inlineStr">
        <is>
          <t>유구읍</t>
        </is>
      </c>
    </row>
    <row r="9345">
      <c r="A9345" s="3" t="n">
        <v>2023</v>
      </c>
      <c r="B9345" s="4" t="n">
        <v>3800</v>
      </c>
      <c r="C9345" s="4" t="n">
        <v>1418</v>
      </c>
      <c r="D9345" s="4" t="n">
        <v>428.945</v>
      </c>
      <c r="E9345" s="5" t="n">
        <v>8.9</v>
      </c>
      <c r="F9345" s="3" t="inlineStr">
        <is>
          <t>유구읍</t>
        </is>
      </c>
      <c r="G9345" s="3" t="inlineStr">
        <is>
          <t>유구리</t>
        </is>
      </c>
      <c r="H9345" s="3" t="inlineStr">
        <is>
          <t>계획관리지역</t>
        </is>
      </c>
      <c r="I9345" s="3" t="inlineStr">
        <is>
          <t>답</t>
        </is>
      </c>
      <c r="J9345" s="3" t="inlineStr">
        <is>
          <t>유구읍</t>
        </is>
      </c>
    </row>
    <row r="9346">
      <c r="A9346" s="3" t="n">
        <v>2023</v>
      </c>
      <c r="B9346" s="4" t="n">
        <v>3000</v>
      </c>
      <c r="C9346" s="4" t="n">
        <v>1081</v>
      </c>
      <c r="D9346" s="4" t="n">
        <v>327.0025</v>
      </c>
      <c r="E9346" s="5" t="n">
        <v>9.199999999999999</v>
      </c>
      <c r="F9346" s="3" t="inlineStr">
        <is>
          <t>유구읍</t>
        </is>
      </c>
      <c r="G9346" s="3" t="inlineStr">
        <is>
          <t>유구리</t>
        </is>
      </c>
      <c r="H9346" s="3" t="inlineStr">
        <is>
          <t>계획관리지역</t>
        </is>
      </c>
      <c r="I9346" s="3" t="inlineStr">
        <is>
          <t>전</t>
        </is>
      </c>
      <c r="J9346" s="3" t="inlineStr">
        <is>
          <t>유구읍</t>
        </is>
      </c>
    </row>
    <row r="9347">
      <c r="A9347" s="3" t="n">
        <v>2023</v>
      </c>
      <c r="B9347" s="4" t="n">
        <v>1100</v>
      </c>
      <c r="C9347" s="4" t="n">
        <v>1481</v>
      </c>
      <c r="D9347" s="4" t="n">
        <v>448.0025</v>
      </c>
      <c r="E9347" s="5" t="n">
        <v>2.5</v>
      </c>
      <c r="F9347" s="3" t="inlineStr">
        <is>
          <t>유구읍</t>
        </is>
      </c>
      <c r="G9347" s="3" t="inlineStr">
        <is>
          <t>입석리</t>
        </is>
      </c>
      <c r="H9347" s="3" t="inlineStr">
        <is>
          <t>보전관리지역</t>
        </is>
      </c>
      <c r="I9347" s="3" t="inlineStr">
        <is>
          <t>답</t>
        </is>
      </c>
      <c r="J9347" s="3" t="inlineStr">
        <is>
          <t>유구읍</t>
        </is>
      </c>
    </row>
    <row r="9348">
      <c r="A9348" s="3" t="n">
        <v>2023</v>
      </c>
      <c r="B9348" s="4" t="n">
        <v>4600</v>
      </c>
      <c r="C9348" s="4" t="n">
        <v>1264</v>
      </c>
      <c r="D9348" s="4" t="n">
        <v>382.36</v>
      </c>
      <c r="E9348" s="5" t="n">
        <v>12</v>
      </c>
      <c r="F9348" s="3" t="inlineStr">
        <is>
          <t>유구읍</t>
        </is>
      </c>
      <c r="G9348" s="3" t="inlineStr">
        <is>
          <t>입석리</t>
        </is>
      </c>
      <c r="H9348" s="3" t="inlineStr">
        <is>
          <t>농림지역</t>
        </is>
      </c>
      <c r="I9348" s="3" t="inlineStr">
        <is>
          <t>답</t>
        </is>
      </c>
      <c r="J9348" s="3" t="inlineStr">
        <is>
          <t>유구읍</t>
        </is>
      </c>
    </row>
    <row r="9349">
      <c r="A9349" s="3" t="n">
        <v>2023</v>
      </c>
      <c r="B9349" s="4" t="n">
        <v>10000</v>
      </c>
      <c r="C9349" s="4" t="n">
        <v>1518</v>
      </c>
      <c r="D9349" s="4" t="n">
        <v>459.195</v>
      </c>
      <c r="E9349" s="5" t="n">
        <v>21.8</v>
      </c>
      <c r="F9349" s="3" t="inlineStr">
        <is>
          <t>유구읍</t>
        </is>
      </c>
      <c r="G9349" s="3" t="inlineStr">
        <is>
          <t>문금리</t>
        </is>
      </c>
      <c r="H9349" s="3" t="inlineStr">
        <is>
          <t>보전관리지역</t>
        </is>
      </c>
      <c r="I9349" s="3" t="inlineStr">
        <is>
          <t>전</t>
        </is>
      </c>
      <c r="J9349" s="3" t="inlineStr">
        <is>
          <t>유구읍</t>
        </is>
      </c>
    </row>
    <row r="9350">
      <c r="A9350" s="3" t="n">
        <v>2023</v>
      </c>
      <c r="B9350" s="4" t="n">
        <v>155</v>
      </c>
      <c r="C9350" s="4" t="n">
        <v>42</v>
      </c>
      <c r="D9350" s="4" t="n">
        <v>12.705</v>
      </c>
      <c r="E9350" s="5" t="n">
        <v>12.2</v>
      </c>
      <c r="F9350" s="3" t="inlineStr">
        <is>
          <t>유구읍</t>
        </is>
      </c>
      <c r="G9350" s="3" t="inlineStr">
        <is>
          <t>연종리</t>
        </is>
      </c>
      <c r="H9350" s="3" t="inlineStr">
        <is>
          <t>계획관리지역</t>
        </is>
      </c>
      <c r="I9350" s="3" t="inlineStr">
        <is>
          <t>도로</t>
        </is>
      </c>
      <c r="J9350" s="3" t="inlineStr">
        <is>
          <t>유구읍</t>
        </is>
      </c>
    </row>
    <row r="9351">
      <c r="A9351" s="3" t="n">
        <v>2023</v>
      </c>
      <c r="B9351" s="4" t="n">
        <v>2100</v>
      </c>
      <c r="C9351" s="4" t="n">
        <v>666.1</v>
      </c>
      <c r="D9351" s="4" t="n">
        <v>201.49525</v>
      </c>
      <c r="E9351" s="5" t="n">
        <v>10.4</v>
      </c>
      <c r="F9351" s="3" t="inlineStr">
        <is>
          <t>유구읍</t>
        </is>
      </c>
      <c r="G9351" s="3" t="inlineStr">
        <is>
          <t>추계리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유구읍</t>
        </is>
      </c>
    </row>
    <row r="9352">
      <c r="A9352" s="3" t="n">
        <v>2023</v>
      </c>
      <c r="B9352" s="4" t="n">
        <v>630</v>
      </c>
      <c r="C9352" s="4" t="n">
        <v>352</v>
      </c>
      <c r="D9352" s="4" t="n">
        <v>106.48</v>
      </c>
      <c r="E9352" s="5" t="n">
        <v>5.9</v>
      </c>
      <c r="F9352" s="3" t="inlineStr">
        <is>
          <t>유구읍</t>
        </is>
      </c>
      <c r="G9352" s="3" t="inlineStr">
        <is>
          <t>녹천리</t>
        </is>
      </c>
      <c r="H9352" s="3" t="inlineStr">
        <is>
          <t>계획관리지역</t>
        </is>
      </c>
      <c r="I9352" s="3" t="inlineStr">
        <is>
          <t>답</t>
        </is>
      </c>
      <c r="J9352" s="3" t="inlineStr">
        <is>
          <t>유구읍</t>
        </is>
      </c>
    </row>
    <row r="9353">
      <c r="A9353" s="3" t="n">
        <v>2024</v>
      </c>
      <c r="B9353" s="4" t="n">
        <v>2100</v>
      </c>
      <c r="C9353" s="4" t="n">
        <v>145</v>
      </c>
      <c r="D9353" s="4" t="n">
        <v>43.8625</v>
      </c>
      <c r="E9353" s="5" t="n">
        <v>47.9</v>
      </c>
      <c r="F9353" s="3" t="inlineStr">
        <is>
          <t>유구읍</t>
        </is>
      </c>
      <c r="G9353" s="3" t="inlineStr">
        <is>
          <t>석남리</t>
        </is>
      </c>
      <c r="H9353" s="3" t="inlineStr">
        <is>
          <t>준주거지역</t>
        </is>
      </c>
      <c r="I9353" s="3" t="inlineStr">
        <is>
          <t>대</t>
        </is>
      </c>
      <c r="J9353" s="3" t="inlineStr">
        <is>
          <t>유구읍</t>
        </is>
      </c>
    </row>
    <row r="9354">
      <c r="A9354" s="3" t="n">
        <v>2024</v>
      </c>
      <c r="B9354" s="4" t="n">
        <v>11800</v>
      </c>
      <c r="C9354" s="4" t="n">
        <v>2202</v>
      </c>
      <c r="D9354" s="4" t="n">
        <v>666.105</v>
      </c>
      <c r="E9354" s="5" t="n">
        <v>17.7</v>
      </c>
      <c r="F9354" s="3" t="inlineStr">
        <is>
          <t>유구읍</t>
        </is>
      </c>
      <c r="G9354" s="3" t="inlineStr">
        <is>
          <t>추계리</t>
        </is>
      </c>
      <c r="H9354" s="3" t="inlineStr">
        <is>
          <t>보전관리지역</t>
        </is>
      </c>
      <c r="I9354" s="3" t="inlineStr">
        <is>
          <t>답</t>
        </is>
      </c>
      <c r="J9354" s="3" t="inlineStr">
        <is>
          <t>유구읍</t>
        </is>
      </c>
    </row>
    <row r="9355">
      <c r="A9355" s="3" t="n">
        <v>2024</v>
      </c>
      <c r="B9355" s="4" t="n">
        <v>3000</v>
      </c>
      <c r="C9355" s="4" t="n">
        <v>331</v>
      </c>
      <c r="D9355" s="4" t="n">
        <v>100.1275</v>
      </c>
      <c r="E9355" s="5" t="n">
        <v>30</v>
      </c>
      <c r="F9355" s="3" t="inlineStr">
        <is>
          <t>유구읍</t>
        </is>
      </c>
      <c r="G9355" s="3" t="inlineStr">
        <is>
          <t>명곡리</t>
        </is>
      </c>
      <c r="H9355" s="3" t="inlineStr">
        <is>
          <t>기타</t>
        </is>
      </c>
      <c r="I9355" s="3" t="inlineStr">
        <is>
          <t>전</t>
        </is>
      </c>
      <c r="J9355" s="3" t="inlineStr">
        <is>
          <t>유구읍</t>
        </is>
      </c>
    </row>
    <row r="9356">
      <c r="A9356" s="3" t="n">
        <v>2024</v>
      </c>
      <c r="B9356" s="4" t="n">
        <v>12000</v>
      </c>
      <c r="C9356" s="4" t="n">
        <v>1835</v>
      </c>
      <c r="D9356" s="4" t="n">
        <v>555.0875</v>
      </c>
      <c r="E9356" s="5" t="n">
        <v>21.6</v>
      </c>
      <c r="F9356" s="3" t="inlineStr">
        <is>
          <t>유구읍</t>
        </is>
      </c>
      <c r="G9356" s="3" t="inlineStr">
        <is>
          <t>명곡리</t>
        </is>
      </c>
      <c r="H9356" s="3" t="inlineStr">
        <is>
          <t>개발제한구역</t>
        </is>
      </c>
      <c r="I9356" s="3" t="inlineStr">
        <is>
          <t>전</t>
        </is>
      </c>
      <c r="J9356" s="3" t="inlineStr">
        <is>
          <t>유구읍</t>
        </is>
      </c>
    </row>
    <row r="9357">
      <c r="A9357" s="3" t="n">
        <v>2024</v>
      </c>
      <c r="B9357" s="4" t="n">
        <v>49801</v>
      </c>
      <c r="C9357" s="4" t="n">
        <v>207505</v>
      </c>
      <c r="D9357" s="4" t="n">
        <v>62770.2625</v>
      </c>
      <c r="E9357" s="5" t="n">
        <v>0.8</v>
      </c>
      <c r="F9357" s="3" t="inlineStr">
        <is>
          <t>유구읍</t>
        </is>
      </c>
      <c r="G9357" s="3" t="inlineStr">
        <is>
          <t>명곡리</t>
        </is>
      </c>
      <c r="H9357" s="3" t="inlineStr">
        <is>
          <t>개발제한구역</t>
        </is>
      </c>
      <c r="I9357" s="3" t="inlineStr">
        <is>
          <t>임야</t>
        </is>
      </c>
      <c r="J9357" s="3" t="inlineStr">
        <is>
          <t>유구읍</t>
        </is>
      </c>
    </row>
    <row r="9358">
      <c r="A9358" s="3" t="n">
        <v>2024</v>
      </c>
      <c r="B9358" s="4" t="n">
        <v>1600</v>
      </c>
      <c r="C9358" s="4" t="n">
        <v>2936</v>
      </c>
      <c r="D9358" s="4" t="n">
        <v>888.14</v>
      </c>
      <c r="E9358" s="5" t="n">
        <v>1.8</v>
      </c>
      <c r="F9358" s="3" t="inlineStr">
        <is>
          <t>유구읍</t>
        </is>
      </c>
      <c r="G9358" s="3" t="inlineStr">
        <is>
          <t>탑곡리</t>
        </is>
      </c>
      <c r="H9358" s="3" t="inlineStr">
        <is>
          <t>계획관리지역</t>
        </is>
      </c>
      <c r="I9358" s="3" t="inlineStr">
        <is>
          <t>전</t>
        </is>
      </c>
      <c r="J9358" s="3" t="inlineStr">
        <is>
          <t>유구읍</t>
        </is>
      </c>
    </row>
    <row r="9359">
      <c r="A9359" s="3" t="n">
        <v>2024</v>
      </c>
      <c r="B9359" s="4" t="n">
        <v>7120</v>
      </c>
      <c r="C9359" s="4" t="n">
        <v>5192</v>
      </c>
      <c r="D9359" s="4" t="n">
        <v>1570.58</v>
      </c>
      <c r="E9359" s="5" t="n">
        <v>4.5</v>
      </c>
      <c r="F9359" s="3" t="inlineStr">
        <is>
          <t>유구읍</t>
        </is>
      </c>
      <c r="G9359" s="3" t="inlineStr">
        <is>
          <t>구계리</t>
        </is>
      </c>
      <c r="H9359" s="3" t="inlineStr">
        <is>
          <t>계획관리지역</t>
        </is>
      </c>
      <c r="I9359" s="3" t="inlineStr">
        <is>
          <t>임야</t>
        </is>
      </c>
      <c r="J9359" s="3" t="inlineStr">
        <is>
          <t>유구읍</t>
        </is>
      </c>
    </row>
    <row r="9360">
      <c r="A9360" s="3" t="n">
        <v>2024</v>
      </c>
      <c r="B9360" s="4" t="n">
        <v>584</v>
      </c>
      <c r="C9360" s="4" t="n">
        <v>386</v>
      </c>
      <c r="D9360" s="4" t="n">
        <v>116.765</v>
      </c>
      <c r="E9360" s="5" t="n">
        <v>5</v>
      </c>
      <c r="F9360" s="3" t="inlineStr">
        <is>
          <t>유구읍</t>
        </is>
      </c>
      <c r="G9360" s="3" t="inlineStr">
        <is>
          <t>유구리</t>
        </is>
      </c>
      <c r="H9360" s="3" t="inlineStr">
        <is>
          <t>계획관리지역</t>
        </is>
      </c>
      <c r="I9360" s="3" t="inlineStr">
        <is>
          <t>임야</t>
        </is>
      </c>
      <c r="J9360" s="3" t="inlineStr">
        <is>
          <t>유구읍</t>
        </is>
      </c>
    </row>
    <row r="9361">
      <c r="A9361" s="3" t="n">
        <v>2024</v>
      </c>
      <c r="B9361" s="4" t="n">
        <v>1916</v>
      </c>
      <c r="C9361" s="4" t="n">
        <v>1264</v>
      </c>
      <c r="D9361" s="4" t="n">
        <v>382.36</v>
      </c>
      <c r="E9361" s="5" t="n">
        <v>5</v>
      </c>
      <c r="F9361" s="3" t="inlineStr">
        <is>
          <t>유구읍</t>
        </is>
      </c>
      <c r="G9361" s="3" t="inlineStr">
        <is>
          <t>유구리</t>
        </is>
      </c>
      <c r="H9361" s="3" t="inlineStr">
        <is>
          <t>계획관리지역</t>
        </is>
      </c>
      <c r="I9361" s="3" t="inlineStr">
        <is>
          <t>임야</t>
        </is>
      </c>
      <c r="J9361" s="3" t="inlineStr">
        <is>
          <t>유구읍</t>
        </is>
      </c>
    </row>
    <row r="9362">
      <c r="A9362" s="3" t="n">
        <v>2025</v>
      </c>
      <c r="B9362" s="4" t="n">
        <v>600</v>
      </c>
      <c r="C9362" s="4" t="n">
        <v>39</v>
      </c>
      <c r="D9362" s="4" t="n">
        <v>11.7975</v>
      </c>
      <c r="E9362" s="5" t="n">
        <v>50.9</v>
      </c>
      <c r="F9362" s="3" t="inlineStr">
        <is>
          <t>유구읍</t>
        </is>
      </c>
      <c r="G9362" s="3" t="inlineStr">
        <is>
          <t>유구리</t>
        </is>
      </c>
      <c r="H9362" s="3" t="inlineStr">
        <is>
          <t>자연녹지지역</t>
        </is>
      </c>
      <c r="I9362" s="3" t="inlineStr">
        <is>
          <t>대</t>
        </is>
      </c>
      <c r="J9362" s="3" t="inlineStr">
        <is>
          <t>유구읍</t>
        </is>
      </c>
    </row>
    <row r="9363">
      <c r="A9363" s="3" t="n">
        <v>2025</v>
      </c>
      <c r="B9363" s="4" t="n">
        <v>8000</v>
      </c>
      <c r="C9363" s="4" t="n">
        <v>3408</v>
      </c>
      <c r="D9363" s="4" t="n">
        <v>1030.92</v>
      </c>
      <c r="E9363" s="5" t="n">
        <v>7.8</v>
      </c>
      <c r="F9363" s="3" t="inlineStr">
        <is>
          <t>유구읍</t>
        </is>
      </c>
      <c r="G9363" s="3" t="inlineStr">
        <is>
          <t>문금리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유구읍</t>
        </is>
      </c>
    </row>
    <row r="9364">
      <c r="A9364" s="3" t="n">
        <v>2025</v>
      </c>
      <c r="B9364" s="4" t="n">
        <v>4575</v>
      </c>
      <c r="C9364" s="4" t="n">
        <v>536</v>
      </c>
      <c r="D9364" s="4" t="n">
        <v>162.14</v>
      </c>
      <c r="E9364" s="5" t="n">
        <v>28.2</v>
      </c>
      <c r="F9364" s="3" t="inlineStr">
        <is>
          <t>유구읍</t>
        </is>
      </c>
      <c r="G9364" s="3" t="inlineStr">
        <is>
          <t>추계리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유구읍</t>
        </is>
      </c>
    </row>
    <row r="9365">
      <c r="A9365" s="3" t="n">
        <v>2025</v>
      </c>
      <c r="B9365" s="4" t="n">
        <v>3925</v>
      </c>
      <c r="C9365" s="4" t="n">
        <v>460</v>
      </c>
      <c r="D9365" s="4" t="n">
        <v>139.15</v>
      </c>
      <c r="E9365" s="5" t="n">
        <v>28.2</v>
      </c>
      <c r="F9365" s="3" t="inlineStr">
        <is>
          <t>유구읍</t>
        </is>
      </c>
      <c r="G9365" s="3" t="inlineStr">
        <is>
          <t>추계리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유구읍</t>
        </is>
      </c>
    </row>
    <row r="9366">
      <c r="A9366" s="3" t="n">
        <v>2025</v>
      </c>
      <c r="B9366" s="4" t="n">
        <v>6700</v>
      </c>
      <c r="C9366" s="4" t="n">
        <v>1712</v>
      </c>
      <c r="D9366" s="4" t="n">
        <v>517.88</v>
      </c>
      <c r="E9366" s="5" t="n">
        <v>12.9</v>
      </c>
      <c r="F9366" s="3" t="inlineStr">
        <is>
          <t>유구읍</t>
        </is>
      </c>
      <c r="G9366" s="3" t="inlineStr">
        <is>
          <t>신영리</t>
        </is>
      </c>
      <c r="H9366" s="3" t="inlineStr">
        <is>
          <t>농림지역</t>
        </is>
      </c>
      <c r="I9366" s="3" t="inlineStr">
        <is>
          <t>답</t>
        </is>
      </c>
      <c r="J9366" s="3" t="inlineStr">
        <is>
          <t>유구읍</t>
        </is>
      </c>
    </row>
    <row r="9367">
      <c r="A9367" s="3" t="n">
        <v>2025</v>
      </c>
      <c r="B9367" s="4" t="n">
        <v>5108</v>
      </c>
      <c r="C9367" s="4" t="n">
        <v>331</v>
      </c>
      <c r="D9367" s="4" t="n">
        <v>100.1275</v>
      </c>
      <c r="E9367" s="5" t="n">
        <v>51</v>
      </c>
      <c r="F9367" s="3" t="inlineStr">
        <is>
          <t>유구읍</t>
        </is>
      </c>
      <c r="G9367" s="3" t="inlineStr">
        <is>
          <t>석남리</t>
        </is>
      </c>
      <c r="H9367" s="3" t="inlineStr">
        <is>
          <t>제2종일반주거지역</t>
        </is>
      </c>
      <c r="I9367" s="3" t="inlineStr">
        <is>
          <t>전</t>
        </is>
      </c>
      <c r="J9367" s="3" t="inlineStr">
        <is>
          <t>유구읍</t>
        </is>
      </c>
    </row>
    <row r="9368">
      <c r="A9368" s="3" t="n">
        <v>2025</v>
      </c>
      <c r="B9368" s="4" t="n">
        <v>4023</v>
      </c>
      <c r="C9368" s="4" t="n">
        <v>1008</v>
      </c>
      <c r="D9368" s="4" t="n">
        <v>304.92</v>
      </c>
      <c r="E9368" s="5" t="n">
        <v>13.2</v>
      </c>
      <c r="F9368" s="3" t="inlineStr">
        <is>
          <t>유구읍</t>
        </is>
      </c>
      <c r="G9368" s="3" t="inlineStr">
        <is>
          <t>만천리</t>
        </is>
      </c>
      <c r="H9368" s="3" t="inlineStr">
        <is>
          <t>농림지역</t>
        </is>
      </c>
      <c r="I9368" s="3" t="inlineStr">
        <is>
          <t>답</t>
        </is>
      </c>
      <c r="J9368" s="3" t="inlineStr">
        <is>
          <t>유구읍</t>
        </is>
      </c>
    </row>
    <row r="9369">
      <c r="A9369" s="3" t="n">
        <v>2025</v>
      </c>
      <c r="B9369" s="4" t="n">
        <v>11990</v>
      </c>
      <c r="C9369" s="4" t="n">
        <v>3004</v>
      </c>
      <c r="D9369" s="4" t="n">
        <v>908.7099999999999</v>
      </c>
      <c r="E9369" s="5" t="n">
        <v>13.2</v>
      </c>
      <c r="F9369" s="3" t="inlineStr">
        <is>
          <t>유구읍</t>
        </is>
      </c>
      <c r="G9369" s="3" t="inlineStr">
        <is>
          <t>만천리</t>
        </is>
      </c>
      <c r="H9369" s="3" t="inlineStr">
        <is>
          <t>농림지역</t>
        </is>
      </c>
      <c r="I9369" s="3" t="inlineStr">
        <is>
          <t>답</t>
        </is>
      </c>
      <c r="J9369" s="3" t="inlineStr">
        <is>
          <t>유구읍</t>
        </is>
      </c>
    </row>
    <row r="9370">
      <c r="A9370" s="3" t="n">
        <v>2025</v>
      </c>
      <c r="B9370" s="4" t="n">
        <v>12387</v>
      </c>
      <c r="C9370" s="4" t="n">
        <v>3106</v>
      </c>
      <c r="D9370" s="4" t="n">
        <v>939.5649999999999</v>
      </c>
      <c r="E9370" s="5" t="n">
        <v>13.2</v>
      </c>
      <c r="F9370" s="3" t="inlineStr">
        <is>
          <t>유구읍</t>
        </is>
      </c>
      <c r="G9370" s="3" t="inlineStr">
        <is>
          <t>만천리</t>
        </is>
      </c>
      <c r="H9370" s="3" t="inlineStr">
        <is>
          <t>농림지역</t>
        </is>
      </c>
      <c r="I9370" s="3" t="inlineStr">
        <is>
          <t>답</t>
        </is>
      </c>
      <c r="J9370" s="3" t="inlineStr">
        <is>
          <t>유구읍</t>
        </is>
      </c>
    </row>
    <row r="9371">
      <c r="A9371" s="3" t="n">
        <v>2025</v>
      </c>
      <c r="B9371" s="4" t="n">
        <v>2524</v>
      </c>
      <c r="C9371" s="4" t="n">
        <v>1600</v>
      </c>
      <c r="D9371" s="4" t="n">
        <v>484</v>
      </c>
      <c r="E9371" s="5" t="n">
        <v>5.2</v>
      </c>
      <c r="F9371" s="3" t="inlineStr">
        <is>
          <t>유구읍</t>
        </is>
      </c>
      <c r="G9371" s="3" t="inlineStr">
        <is>
          <t>녹천리</t>
        </is>
      </c>
      <c r="H9371" s="3" t="inlineStr">
        <is>
          <t>계획관리지역</t>
        </is>
      </c>
      <c r="I9371" s="3" t="inlineStr">
        <is>
          <t>대</t>
        </is>
      </c>
      <c r="J9371" s="3" t="inlineStr">
        <is>
          <t>유구읍</t>
        </is>
      </c>
    </row>
    <row r="9372">
      <c r="A9372" s="3" t="n">
        <v>2025</v>
      </c>
      <c r="B9372" s="4" t="n">
        <v>1976</v>
      </c>
      <c r="C9372" s="4" t="n">
        <v>1412</v>
      </c>
      <c r="D9372" s="4" t="n">
        <v>427.13</v>
      </c>
      <c r="E9372" s="5" t="n">
        <v>4.6</v>
      </c>
      <c r="F9372" s="3" t="inlineStr">
        <is>
          <t>유구읍</t>
        </is>
      </c>
      <c r="G9372" s="3" t="inlineStr">
        <is>
          <t>녹천리</t>
        </is>
      </c>
      <c r="H9372" s="3" t="inlineStr">
        <is>
          <t>계획관리지역</t>
        </is>
      </c>
      <c r="I9372" s="3" t="inlineStr">
        <is>
          <t>답</t>
        </is>
      </c>
      <c r="J9372" s="3" t="inlineStr">
        <is>
          <t>유구읍</t>
        </is>
      </c>
    </row>
    <row r="9373">
      <c r="A9373" s="3" t="n">
        <v>2023</v>
      </c>
      <c r="B9373" s="4" t="n">
        <v>1706</v>
      </c>
      <c r="C9373" s="4" t="n">
        <v>141</v>
      </c>
      <c r="D9373" s="4" t="n">
        <v>42.6525</v>
      </c>
      <c r="E9373" s="5" t="n">
        <v>40</v>
      </c>
      <c r="F9373" s="3" t="inlineStr">
        <is>
          <t>유구읍</t>
        </is>
      </c>
      <c r="G9373" s="3" t="inlineStr">
        <is>
          <t>녹천리</t>
        </is>
      </c>
      <c r="H9373" s="3" t="inlineStr">
        <is>
          <t>계획관리지역</t>
        </is>
      </c>
      <c r="I9373" s="3" t="inlineStr">
        <is>
          <t>도로</t>
        </is>
      </c>
      <c r="J9373" s="3" t="inlineStr">
        <is>
          <t>유구읍</t>
        </is>
      </c>
    </row>
    <row r="9374">
      <c r="A9374" s="3" t="n">
        <v>2023</v>
      </c>
      <c r="B9374" s="4" t="n">
        <v>5251</v>
      </c>
      <c r="C9374" s="4" t="n">
        <v>434</v>
      </c>
      <c r="D9374" s="4" t="n">
        <v>131.285</v>
      </c>
      <c r="E9374" s="5" t="n">
        <v>40</v>
      </c>
      <c r="F9374" s="3" t="inlineStr">
        <is>
          <t>유구읍</t>
        </is>
      </c>
      <c r="G9374" s="3" t="inlineStr">
        <is>
          <t>녹천리</t>
        </is>
      </c>
      <c r="H9374" s="3" t="inlineStr">
        <is>
          <t>계획관리지역</t>
        </is>
      </c>
      <c r="I9374" s="3" t="inlineStr">
        <is>
          <t>도로</t>
        </is>
      </c>
      <c r="J9374" s="3" t="inlineStr">
        <is>
          <t>유구읍</t>
        </is>
      </c>
    </row>
    <row r="9375">
      <c r="A9375" s="3" t="n">
        <v>2023</v>
      </c>
      <c r="B9375" s="4" t="n">
        <v>300</v>
      </c>
      <c r="C9375" s="4" t="n">
        <v>184</v>
      </c>
      <c r="D9375" s="4" t="n">
        <v>55.66</v>
      </c>
      <c r="E9375" s="5" t="n">
        <v>5.4</v>
      </c>
      <c r="F9375" s="3" t="inlineStr">
        <is>
          <t>유구읍</t>
        </is>
      </c>
      <c r="G9375" s="3" t="inlineStr">
        <is>
          <t>녹천리</t>
        </is>
      </c>
      <c r="H9375" s="3" t="inlineStr">
        <is>
          <t>계획관리지역</t>
        </is>
      </c>
      <c r="I9375" s="3" t="inlineStr">
        <is>
          <t>도로</t>
        </is>
      </c>
      <c r="J9375" s="3" t="inlineStr">
        <is>
          <t>유구읍</t>
        </is>
      </c>
    </row>
    <row r="9376">
      <c r="A9376" s="3" t="n">
        <v>2023</v>
      </c>
      <c r="B9376" s="4" t="n">
        <v>2379</v>
      </c>
      <c r="C9376" s="4" t="n">
        <v>606</v>
      </c>
      <c r="D9376" s="4" t="n">
        <v>183.315</v>
      </c>
      <c r="E9376" s="5" t="n">
        <v>13</v>
      </c>
      <c r="F9376" s="3" t="inlineStr">
        <is>
          <t>유구읍</t>
        </is>
      </c>
      <c r="G9376" s="3" t="inlineStr">
        <is>
          <t>녹천리</t>
        </is>
      </c>
      <c r="H9376" s="3" t="inlineStr">
        <is>
          <t>계획관리지역</t>
        </is>
      </c>
      <c r="I9376" s="3" t="inlineStr">
        <is>
          <t>전</t>
        </is>
      </c>
      <c r="J9376" s="3" t="inlineStr">
        <is>
          <t>유구읍</t>
        </is>
      </c>
    </row>
    <row r="9377">
      <c r="A9377" s="3" t="n">
        <v>2023</v>
      </c>
      <c r="B9377" s="4" t="n">
        <v>7124</v>
      </c>
      <c r="C9377" s="4" t="n">
        <v>1814</v>
      </c>
      <c r="D9377" s="4" t="n">
        <v>548.735</v>
      </c>
      <c r="E9377" s="5" t="n">
        <v>13</v>
      </c>
      <c r="F9377" s="3" t="inlineStr">
        <is>
          <t>유구읍</t>
        </is>
      </c>
      <c r="G9377" s="3" t="inlineStr">
        <is>
          <t>녹천리</t>
        </is>
      </c>
      <c r="H9377" s="3" t="inlineStr">
        <is>
          <t>계획관리지역</t>
        </is>
      </c>
      <c r="I9377" s="3" t="inlineStr">
        <is>
          <t>전</t>
        </is>
      </c>
      <c r="J9377" s="3" t="inlineStr">
        <is>
          <t>유구읍</t>
        </is>
      </c>
    </row>
    <row r="9378">
      <c r="A9378" s="3" t="n">
        <v>2023</v>
      </c>
      <c r="B9378" s="4" t="n">
        <v>3540</v>
      </c>
      <c r="C9378" s="4" t="n">
        <v>976</v>
      </c>
      <c r="D9378" s="4" t="n">
        <v>295.24</v>
      </c>
      <c r="E9378" s="5" t="n">
        <v>12</v>
      </c>
      <c r="F9378" s="3" t="inlineStr">
        <is>
          <t>유구읍</t>
        </is>
      </c>
      <c r="G9378" s="3" t="inlineStr">
        <is>
          <t>만천리</t>
        </is>
      </c>
      <c r="H9378" s="3" t="inlineStr">
        <is>
          <t>농림지역</t>
        </is>
      </c>
      <c r="I9378" s="3" t="inlineStr">
        <is>
          <t>답</t>
        </is>
      </c>
      <c r="J9378" s="3" t="inlineStr">
        <is>
          <t>유구읍</t>
        </is>
      </c>
    </row>
    <row r="9379">
      <c r="A9379" s="3" t="n">
        <v>2023</v>
      </c>
      <c r="B9379" s="4" t="n">
        <v>7100</v>
      </c>
      <c r="C9379" s="4" t="n">
        <v>1956</v>
      </c>
      <c r="D9379" s="4" t="n">
        <v>591.6899999999999</v>
      </c>
      <c r="E9379" s="5" t="n">
        <v>12</v>
      </c>
      <c r="F9379" s="3" t="inlineStr">
        <is>
          <t>유구읍</t>
        </is>
      </c>
      <c r="G9379" s="3" t="inlineStr">
        <is>
          <t>만천리</t>
        </is>
      </c>
      <c r="H9379" s="3" t="inlineStr">
        <is>
          <t>농림지역</t>
        </is>
      </c>
      <c r="I9379" s="3" t="inlineStr">
        <is>
          <t>답</t>
        </is>
      </c>
      <c r="J9379" s="3" t="inlineStr">
        <is>
          <t>유구읍</t>
        </is>
      </c>
    </row>
    <row r="9380">
      <c r="A9380" s="3" t="n">
        <v>2022</v>
      </c>
      <c r="B9380" s="4" t="n">
        <v>6813</v>
      </c>
      <c r="C9380" s="4" t="n">
        <v>3365</v>
      </c>
      <c r="D9380" s="4" t="n">
        <v>1017.9125</v>
      </c>
      <c r="E9380" s="5" t="n">
        <v>6.7</v>
      </c>
      <c r="F9380" s="3" t="inlineStr">
        <is>
          <t>유구읍</t>
        </is>
      </c>
      <c r="G9380" s="3" t="inlineStr">
        <is>
          <t>노동리</t>
        </is>
      </c>
      <c r="H9380" s="3" t="inlineStr">
        <is>
          <t>계획관리지역</t>
        </is>
      </c>
      <c r="I9380" s="3" t="inlineStr">
        <is>
          <t>답</t>
        </is>
      </c>
      <c r="J9380" s="3" t="inlineStr">
        <is>
          <t>유구읍</t>
        </is>
      </c>
    </row>
    <row r="9381">
      <c r="A9381" s="3" t="n">
        <v>2022</v>
      </c>
      <c r="B9381" s="4" t="n">
        <v>6573</v>
      </c>
      <c r="C9381" s="4" t="n">
        <v>2274</v>
      </c>
      <c r="D9381" s="4" t="n">
        <v>687.885</v>
      </c>
      <c r="E9381" s="5" t="n">
        <v>9.6</v>
      </c>
      <c r="F9381" s="3" t="inlineStr">
        <is>
          <t>유구읍</t>
        </is>
      </c>
      <c r="G9381" s="3" t="inlineStr">
        <is>
          <t>노동리</t>
        </is>
      </c>
      <c r="H9381" s="3" t="inlineStr">
        <is>
          <t>계획관리지역</t>
        </is>
      </c>
      <c r="I9381" s="3" t="inlineStr">
        <is>
          <t>전</t>
        </is>
      </c>
      <c r="J9381" s="3" t="inlineStr">
        <is>
          <t>유구읍</t>
        </is>
      </c>
    </row>
    <row r="9382">
      <c r="A9382" s="3" t="n">
        <v>2022</v>
      </c>
      <c r="B9382" s="4" t="n">
        <v>489</v>
      </c>
      <c r="C9382" s="4" t="n">
        <v>169</v>
      </c>
      <c r="D9382" s="4" t="n">
        <v>51.1225</v>
      </c>
      <c r="E9382" s="5" t="n">
        <v>9.6</v>
      </c>
      <c r="F9382" s="3" t="inlineStr">
        <is>
          <t>유구읍</t>
        </is>
      </c>
      <c r="G9382" s="3" t="inlineStr">
        <is>
          <t>노동리</t>
        </is>
      </c>
      <c r="H9382" s="3" t="inlineStr">
        <is>
          <t>계획관리지역</t>
        </is>
      </c>
      <c r="I9382" s="3" t="inlineStr">
        <is>
          <t>답</t>
        </is>
      </c>
      <c r="J9382" s="3" t="inlineStr">
        <is>
          <t>유구읍</t>
        </is>
      </c>
    </row>
    <row r="9383">
      <c r="A9383" s="3" t="n">
        <v>2022</v>
      </c>
      <c r="B9383" s="4" t="n">
        <v>792</v>
      </c>
      <c r="C9383" s="4" t="n">
        <v>274</v>
      </c>
      <c r="D9383" s="4" t="n">
        <v>82.88499999999999</v>
      </c>
      <c r="E9383" s="5" t="n">
        <v>9.6</v>
      </c>
      <c r="F9383" s="3" t="inlineStr">
        <is>
          <t>유구읍</t>
        </is>
      </c>
      <c r="G9383" s="3" t="inlineStr">
        <is>
          <t>노동리</t>
        </is>
      </c>
      <c r="H9383" s="3" t="inlineStr">
        <is>
          <t>계획관리지역</t>
        </is>
      </c>
      <c r="I9383" s="3" t="inlineStr">
        <is>
          <t>전</t>
        </is>
      </c>
      <c r="J9383" s="3" t="inlineStr">
        <is>
          <t>유구읍</t>
        </is>
      </c>
    </row>
    <row r="9384">
      <c r="A9384" s="3" t="n">
        <v>2022</v>
      </c>
      <c r="B9384" s="4" t="n">
        <v>833</v>
      </c>
      <c r="C9384" s="4" t="n">
        <v>288</v>
      </c>
      <c r="D9384" s="4" t="n">
        <v>87.12</v>
      </c>
      <c r="E9384" s="5" t="n">
        <v>9.6</v>
      </c>
      <c r="F9384" s="3" t="inlineStr">
        <is>
          <t>유구읍</t>
        </is>
      </c>
      <c r="G9384" s="3" t="inlineStr">
        <is>
          <t>노동리</t>
        </is>
      </c>
      <c r="H9384" s="3" t="inlineStr">
        <is>
          <t>계획관리지역</t>
        </is>
      </c>
      <c r="I9384" s="3" t="inlineStr">
        <is>
          <t>전</t>
        </is>
      </c>
      <c r="J9384" s="3" t="inlineStr">
        <is>
          <t>유구읍</t>
        </is>
      </c>
    </row>
    <row r="9385">
      <c r="A9385" s="3" t="n">
        <v>2022</v>
      </c>
      <c r="B9385" s="4" t="n">
        <v>3300</v>
      </c>
      <c r="C9385" s="4" t="n">
        <v>661</v>
      </c>
      <c r="D9385" s="4" t="n">
        <v>199.9525</v>
      </c>
      <c r="E9385" s="5" t="n">
        <v>16.5</v>
      </c>
      <c r="F9385" s="3" t="inlineStr">
        <is>
          <t>유구읍</t>
        </is>
      </c>
      <c r="G9385" s="3" t="inlineStr">
        <is>
          <t>유구리</t>
        </is>
      </c>
      <c r="H9385" s="3" t="inlineStr">
        <is>
          <t>자연녹지지역</t>
        </is>
      </c>
      <c r="I9385" s="3" t="inlineStr">
        <is>
          <t>전</t>
        </is>
      </c>
      <c r="J9385" s="3" t="inlineStr">
        <is>
          <t>유구읍</t>
        </is>
      </c>
    </row>
    <row r="9386">
      <c r="A9386" s="3" t="n">
        <v>2022</v>
      </c>
      <c r="B9386" s="4" t="n">
        <v>1700</v>
      </c>
      <c r="C9386" s="4" t="n">
        <v>152</v>
      </c>
      <c r="D9386" s="4" t="n">
        <v>45.98</v>
      </c>
      <c r="E9386" s="5" t="n">
        <v>37</v>
      </c>
      <c r="F9386" s="3" t="inlineStr">
        <is>
          <t>유구읍</t>
        </is>
      </c>
      <c r="G9386" s="3" t="inlineStr">
        <is>
          <t>녹천리</t>
        </is>
      </c>
      <c r="H9386" s="3" t="inlineStr">
        <is>
          <t>자연녹지지역</t>
        </is>
      </c>
      <c r="I9386" s="3" t="inlineStr">
        <is>
          <t>전</t>
        </is>
      </c>
      <c r="J9386" s="3" t="inlineStr">
        <is>
          <t>유구읍</t>
        </is>
      </c>
    </row>
    <row r="9387">
      <c r="A9387" s="3" t="n">
        <v>2022</v>
      </c>
      <c r="B9387" s="4" t="n">
        <v>9820</v>
      </c>
      <c r="C9387" s="4" t="n">
        <v>919</v>
      </c>
      <c r="D9387" s="4" t="n">
        <v>277.9975</v>
      </c>
      <c r="E9387" s="5" t="n">
        <v>35.3</v>
      </c>
      <c r="F9387" s="3" t="inlineStr">
        <is>
          <t>유구읍</t>
        </is>
      </c>
      <c r="G9387" s="3" t="inlineStr">
        <is>
          <t>녹천리</t>
        </is>
      </c>
      <c r="H9387" s="3" t="inlineStr">
        <is>
          <t>자연녹지지역</t>
        </is>
      </c>
      <c r="I9387" s="3" t="inlineStr">
        <is>
          <t>전</t>
        </is>
      </c>
      <c r="J9387" s="3" t="inlineStr">
        <is>
          <t>유구읍</t>
        </is>
      </c>
    </row>
    <row r="9388">
      <c r="A9388" s="3" t="n">
        <v>2022</v>
      </c>
      <c r="B9388" s="4" t="n">
        <v>7220</v>
      </c>
      <c r="C9388" s="4" t="n">
        <v>655</v>
      </c>
      <c r="D9388" s="4" t="n">
        <v>198.1375</v>
      </c>
      <c r="E9388" s="5" t="n">
        <v>36.4</v>
      </c>
      <c r="F9388" s="3" t="inlineStr">
        <is>
          <t>유구읍</t>
        </is>
      </c>
      <c r="G9388" s="3" t="inlineStr">
        <is>
          <t>녹천리</t>
        </is>
      </c>
      <c r="H9388" s="3" t="inlineStr">
        <is>
          <t>자연녹지지역</t>
        </is>
      </c>
      <c r="I9388" s="3" t="inlineStr">
        <is>
          <t>전</t>
        </is>
      </c>
      <c r="J9388" s="3" t="inlineStr">
        <is>
          <t>유구읍</t>
        </is>
      </c>
    </row>
    <row r="9389">
      <c r="A9389" s="3" t="n">
        <v>2022</v>
      </c>
      <c r="B9389" s="4" t="n">
        <v>1800</v>
      </c>
      <c r="C9389" s="4" t="n">
        <v>156</v>
      </c>
      <c r="D9389" s="4" t="n">
        <v>47.19</v>
      </c>
      <c r="E9389" s="5" t="n">
        <v>38.1</v>
      </c>
      <c r="F9389" s="3" t="inlineStr">
        <is>
          <t>유구읍</t>
        </is>
      </c>
      <c r="G9389" s="3" t="inlineStr">
        <is>
          <t>녹천리</t>
        </is>
      </c>
      <c r="H9389" s="3" t="inlineStr">
        <is>
          <t>자연녹지지역</t>
        </is>
      </c>
      <c r="I9389" s="3" t="inlineStr">
        <is>
          <t>전</t>
        </is>
      </c>
      <c r="J9389" s="3" t="inlineStr">
        <is>
          <t>유구읍</t>
        </is>
      </c>
    </row>
    <row r="9390">
      <c r="A9390" s="3" t="n">
        <v>2022</v>
      </c>
      <c r="B9390" s="4" t="n">
        <v>2830</v>
      </c>
      <c r="C9390" s="4" t="n">
        <v>245</v>
      </c>
      <c r="D9390" s="4" t="n">
        <v>74.1125</v>
      </c>
      <c r="E9390" s="5" t="n">
        <v>38.2</v>
      </c>
      <c r="F9390" s="3" t="inlineStr">
        <is>
          <t>유구읍</t>
        </is>
      </c>
      <c r="G9390" s="3" t="inlineStr">
        <is>
          <t>녹천리</t>
        </is>
      </c>
      <c r="H9390" s="3" t="inlineStr">
        <is>
          <t>자연녹지지역</t>
        </is>
      </c>
      <c r="I9390" s="3" t="inlineStr">
        <is>
          <t>전</t>
        </is>
      </c>
      <c r="J9390" s="3" t="inlineStr">
        <is>
          <t>유구읍</t>
        </is>
      </c>
    </row>
    <row r="9391">
      <c r="A9391" s="3" t="n">
        <v>2022</v>
      </c>
      <c r="B9391" s="4" t="n">
        <v>870</v>
      </c>
      <c r="C9391" s="4" t="n">
        <v>79</v>
      </c>
      <c r="D9391" s="4" t="n">
        <v>23.8975</v>
      </c>
      <c r="E9391" s="5" t="n">
        <v>36.4</v>
      </c>
      <c r="F9391" s="3" t="inlineStr">
        <is>
          <t>유구읍</t>
        </is>
      </c>
      <c r="G9391" s="3" t="inlineStr">
        <is>
          <t>녹천리</t>
        </is>
      </c>
      <c r="H9391" s="3" t="inlineStr">
        <is>
          <t>자연녹지지역</t>
        </is>
      </c>
      <c r="I9391" s="3" t="inlineStr">
        <is>
          <t>전</t>
        </is>
      </c>
      <c r="J9391" s="3" t="inlineStr">
        <is>
          <t>유구읍</t>
        </is>
      </c>
    </row>
    <row r="9392">
      <c r="A9392" s="3" t="n">
        <v>2022</v>
      </c>
      <c r="B9392" s="4" t="n">
        <v>760</v>
      </c>
      <c r="C9392" s="4" t="n">
        <v>71</v>
      </c>
      <c r="D9392" s="4" t="n">
        <v>21.4775</v>
      </c>
      <c r="E9392" s="5" t="n">
        <v>35.4</v>
      </c>
      <c r="F9392" s="3" t="inlineStr">
        <is>
          <t>유구읍</t>
        </is>
      </c>
      <c r="G9392" s="3" t="inlineStr">
        <is>
          <t>녹천리</t>
        </is>
      </c>
      <c r="H9392" s="3" t="inlineStr">
        <is>
          <t>자연녹지지역</t>
        </is>
      </c>
      <c r="I9392" s="3" t="inlineStr">
        <is>
          <t>전</t>
        </is>
      </c>
      <c r="J9392" s="3" t="inlineStr">
        <is>
          <t>유구읍</t>
        </is>
      </c>
    </row>
    <row r="9393">
      <c r="A9393" s="3" t="n">
        <v>2022</v>
      </c>
      <c r="B9393" s="4" t="n">
        <v>4000</v>
      </c>
      <c r="C9393" s="4" t="n">
        <v>729</v>
      </c>
      <c r="D9393" s="4" t="n">
        <v>220.5225</v>
      </c>
      <c r="E9393" s="5" t="n">
        <v>18.1</v>
      </c>
      <c r="F9393" s="3" t="inlineStr">
        <is>
          <t>유구읍</t>
        </is>
      </c>
      <c r="G9393" s="3" t="inlineStr">
        <is>
          <t>녹천리</t>
        </is>
      </c>
      <c r="H9393" s="3" t="inlineStr">
        <is>
          <t>계획관리지역</t>
        </is>
      </c>
      <c r="I9393" s="3" t="inlineStr">
        <is>
          <t>임야</t>
        </is>
      </c>
      <c r="J9393" s="3" t="inlineStr">
        <is>
          <t>유구읍</t>
        </is>
      </c>
    </row>
    <row r="9394">
      <c r="A9394" s="3" t="n">
        <v>2022</v>
      </c>
      <c r="B9394" s="4" t="n">
        <v>5931</v>
      </c>
      <c r="C9394" s="4" t="n">
        <v>1512</v>
      </c>
      <c r="D9394" s="4" t="n">
        <v>457.38</v>
      </c>
      <c r="E9394" s="5" t="n">
        <v>13</v>
      </c>
      <c r="F9394" s="3" t="inlineStr">
        <is>
          <t>유구읍</t>
        </is>
      </c>
      <c r="G9394" s="3" t="inlineStr">
        <is>
          <t>신영리</t>
        </is>
      </c>
      <c r="H9394" s="3" t="inlineStr">
        <is>
          <t>농림지역</t>
        </is>
      </c>
      <c r="I9394" s="3" t="inlineStr">
        <is>
          <t>답</t>
        </is>
      </c>
      <c r="J9394" s="3" t="inlineStr">
        <is>
          <t>유구읍</t>
        </is>
      </c>
    </row>
    <row r="9395">
      <c r="A9395" s="3" t="n">
        <v>2022</v>
      </c>
      <c r="B9395" s="4" t="n">
        <v>6069</v>
      </c>
      <c r="C9395" s="4" t="n">
        <v>1547</v>
      </c>
      <c r="D9395" s="4" t="n">
        <v>467.9675</v>
      </c>
      <c r="E9395" s="5" t="n">
        <v>13</v>
      </c>
      <c r="F9395" s="3" t="inlineStr">
        <is>
          <t>유구읍</t>
        </is>
      </c>
      <c r="G9395" s="3" t="inlineStr">
        <is>
          <t>신영리</t>
        </is>
      </c>
      <c r="H9395" s="3" t="inlineStr">
        <is>
          <t>농림지역</t>
        </is>
      </c>
      <c r="I9395" s="3" t="inlineStr">
        <is>
          <t>답</t>
        </is>
      </c>
      <c r="J9395" s="3" t="inlineStr">
        <is>
          <t>유구읍</t>
        </is>
      </c>
    </row>
    <row r="9396">
      <c r="A9396" s="3" t="n">
        <v>2022</v>
      </c>
      <c r="B9396" s="4" t="n">
        <v>5900</v>
      </c>
      <c r="C9396" s="4" t="n">
        <v>1722</v>
      </c>
      <c r="D9396" s="4" t="n">
        <v>520.905</v>
      </c>
      <c r="E9396" s="5" t="n">
        <v>11.3</v>
      </c>
      <c r="F9396" s="3" t="inlineStr">
        <is>
          <t>유구읍</t>
        </is>
      </c>
      <c r="G9396" s="3" t="inlineStr">
        <is>
          <t>녹천리</t>
        </is>
      </c>
      <c r="H9396" s="3" t="inlineStr">
        <is>
          <t>계획관리지역</t>
        </is>
      </c>
      <c r="I9396" s="3" t="inlineStr">
        <is>
          <t>전</t>
        </is>
      </c>
      <c r="J9396" s="3" t="inlineStr">
        <is>
          <t>유구읍</t>
        </is>
      </c>
    </row>
    <row r="9397">
      <c r="A9397" s="3" t="n">
        <v>2022</v>
      </c>
      <c r="B9397" s="4" t="n">
        <v>100</v>
      </c>
      <c r="C9397" s="4" t="n">
        <v>23</v>
      </c>
      <c r="D9397" s="4" t="n">
        <v>6.9575</v>
      </c>
      <c r="E9397" s="5" t="n">
        <v>14.4</v>
      </c>
      <c r="F9397" s="3" t="inlineStr">
        <is>
          <t>유구읍</t>
        </is>
      </c>
      <c r="G9397" s="3" t="inlineStr">
        <is>
          <t>녹천리</t>
        </is>
      </c>
      <c r="H9397" s="3" t="inlineStr">
        <is>
          <t>계획관리지역</t>
        </is>
      </c>
      <c r="I9397" s="3" t="inlineStr">
        <is>
          <t>전</t>
        </is>
      </c>
      <c r="J9397" s="3" t="inlineStr">
        <is>
          <t>유구읍</t>
        </is>
      </c>
    </row>
    <row r="9398">
      <c r="A9398" s="3" t="n">
        <v>2022</v>
      </c>
      <c r="B9398" s="4" t="n">
        <v>2501</v>
      </c>
      <c r="C9398" s="4" t="n">
        <v>381</v>
      </c>
      <c r="D9398" s="4" t="n">
        <v>115.2525</v>
      </c>
      <c r="E9398" s="5" t="n">
        <v>21.7</v>
      </c>
      <c r="F9398" s="3" t="inlineStr">
        <is>
          <t>유구읍</t>
        </is>
      </c>
      <c r="G9398" s="3" t="inlineStr">
        <is>
          <t>백교리</t>
        </is>
      </c>
      <c r="H9398" s="3" t="inlineStr">
        <is>
          <t>농림지역</t>
        </is>
      </c>
      <c r="I9398" s="3" t="inlineStr">
        <is>
          <t>전</t>
        </is>
      </c>
      <c r="J9398" s="3" t="inlineStr">
        <is>
          <t>유구읍</t>
        </is>
      </c>
    </row>
    <row r="9399">
      <c r="A9399" s="3" t="n">
        <v>2022</v>
      </c>
      <c r="B9399" s="4" t="n">
        <v>15769</v>
      </c>
      <c r="C9399" s="4" t="n">
        <v>2396</v>
      </c>
      <c r="D9399" s="4" t="n">
        <v>724.79</v>
      </c>
      <c r="E9399" s="5" t="n">
        <v>21.8</v>
      </c>
      <c r="F9399" s="3" t="inlineStr">
        <is>
          <t>유구읍</t>
        </is>
      </c>
      <c r="G9399" s="3" t="inlineStr">
        <is>
          <t>백교리</t>
        </is>
      </c>
      <c r="H9399" s="3" t="inlineStr">
        <is>
          <t>자연녹지지역</t>
        </is>
      </c>
      <c r="I9399" s="3" t="inlineStr">
        <is>
          <t>전</t>
        </is>
      </c>
      <c r="J9399" s="3" t="inlineStr">
        <is>
          <t>유구읍</t>
        </is>
      </c>
    </row>
    <row r="9400">
      <c r="A9400" s="3" t="n">
        <v>2022</v>
      </c>
      <c r="B9400" s="4" t="n">
        <v>900</v>
      </c>
      <c r="C9400" s="4" t="n">
        <v>282</v>
      </c>
      <c r="D9400" s="4" t="n">
        <v>85.30499999999999</v>
      </c>
      <c r="E9400" s="5" t="n">
        <v>10.6</v>
      </c>
      <c r="F9400" s="3" t="inlineStr">
        <is>
          <t>유구읍</t>
        </is>
      </c>
      <c r="G9400" s="3" t="inlineStr">
        <is>
          <t>문금리</t>
        </is>
      </c>
      <c r="H9400" s="3" t="inlineStr">
        <is>
          <t>계획관리지역</t>
        </is>
      </c>
      <c r="I9400" s="3" t="inlineStr">
        <is>
          <t>답</t>
        </is>
      </c>
      <c r="J9400" s="3" t="inlineStr">
        <is>
          <t>유구읍</t>
        </is>
      </c>
    </row>
    <row r="9401">
      <c r="A9401" s="3" t="n">
        <v>2022</v>
      </c>
      <c r="B9401" s="4" t="n">
        <v>2652</v>
      </c>
      <c r="C9401" s="4" t="n">
        <v>29478</v>
      </c>
      <c r="D9401" s="4" t="n">
        <v>8917.094999999999</v>
      </c>
      <c r="E9401" s="5" t="n">
        <v>0.3</v>
      </c>
      <c r="F9401" s="3" t="inlineStr">
        <is>
          <t>유구읍</t>
        </is>
      </c>
      <c r="G9401" s="3" t="inlineStr">
        <is>
          <t>추계리</t>
        </is>
      </c>
      <c r="H9401" s="3" t="inlineStr">
        <is>
          <t>농림지역</t>
        </is>
      </c>
      <c r="I9401" s="3" t="inlineStr">
        <is>
          <t>임야</t>
        </is>
      </c>
      <c r="J9401" s="3" t="inlineStr">
        <is>
          <t>유구읍</t>
        </is>
      </c>
    </row>
    <row r="9402">
      <c r="A9402" s="3" t="n">
        <v>2023</v>
      </c>
      <c r="B9402" s="4" t="n">
        <v>208</v>
      </c>
      <c r="C9402" s="4" t="n">
        <v>179</v>
      </c>
      <c r="D9402" s="4" t="n">
        <v>54.1475</v>
      </c>
      <c r="E9402" s="5" t="n">
        <v>3.8</v>
      </c>
      <c r="F9402" s="3" t="inlineStr">
        <is>
          <t>유구읍</t>
        </is>
      </c>
      <c r="G9402" s="3" t="inlineStr">
        <is>
          <t>만천리</t>
        </is>
      </c>
      <c r="H9402" s="3" t="inlineStr">
        <is>
          <t>계획관리지역</t>
        </is>
      </c>
      <c r="I9402" s="3" t="inlineStr">
        <is>
          <t>답</t>
        </is>
      </c>
      <c r="J9402" s="3" t="inlineStr">
        <is>
          <t>유구읍</t>
        </is>
      </c>
    </row>
    <row r="9403">
      <c r="A9403" s="3" t="n">
        <v>2023</v>
      </c>
      <c r="B9403" s="4" t="n">
        <v>792</v>
      </c>
      <c r="C9403" s="4" t="n">
        <v>476</v>
      </c>
      <c r="D9403" s="4" t="n">
        <v>143.99</v>
      </c>
      <c r="E9403" s="5" t="n">
        <v>5.5</v>
      </c>
      <c r="F9403" s="3" t="inlineStr">
        <is>
          <t>유구읍</t>
        </is>
      </c>
      <c r="G9403" s="3" t="inlineStr">
        <is>
          <t>만천리</t>
        </is>
      </c>
      <c r="H9403" s="3" t="inlineStr">
        <is>
          <t>계획관리지역</t>
        </is>
      </c>
      <c r="I9403" s="3" t="inlineStr">
        <is>
          <t>답</t>
        </is>
      </c>
      <c r="J9403" s="3" t="inlineStr">
        <is>
          <t>유구읍</t>
        </is>
      </c>
    </row>
    <row r="9404">
      <c r="A9404" s="3" t="n">
        <v>2023</v>
      </c>
      <c r="B9404" s="4" t="n">
        <v>10500</v>
      </c>
      <c r="C9404" s="4" t="n">
        <v>719</v>
      </c>
      <c r="D9404" s="4" t="n">
        <v>217.4975</v>
      </c>
      <c r="E9404" s="5" t="n">
        <v>48.3</v>
      </c>
      <c r="F9404" s="3" t="inlineStr">
        <is>
          <t>유구읍</t>
        </is>
      </c>
      <c r="G9404" s="3" t="inlineStr">
        <is>
          <t>문금리</t>
        </is>
      </c>
      <c r="H9404" s="3" t="inlineStr">
        <is>
          <t>계획관리지역</t>
        </is>
      </c>
      <c r="I9404" s="3" t="inlineStr">
        <is>
          <t>임야</t>
        </is>
      </c>
      <c r="J9404" s="3" t="inlineStr">
        <is>
          <t>유구읍</t>
        </is>
      </c>
    </row>
    <row r="9405">
      <c r="A9405" s="3" t="n">
        <v>2023</v>
      </c>
      <c r="B9405" s="4" t="n">
        <v>1000</v>
      </c>
      <c r="C9405" s="4" t="n">
        <v>2182</v>
      </c>
      <c r="D9405" s="4" t="n">
        <v>660.0549999999999</v>
      </c>
      <c r="E9405" s="5" t="n">
        <v>1.5</v>
      </c>
      <c r="F9405" s="3" t="inlineStr">
        <is>
          <t>유구읍</t>
        </is>
      </c>
      <c r="G9405" s="3" t="inlineStr">
        <is>
          <t>탑곡리</t>
        </is>
      </c>
      <c r="H9405" s="3" t="inlineStr">
        <is>
          <t>생산관리지역</t>
        </is>
      </c>
      <c r="I9405" s="3" t="inlineStr">
        <is>
          <t>전</t>
        </is>
      </c>
      <c r="J9405" s="3" t="inlineStr">
        <is>
          <t>유구읍</t>
        </is>
      </c>
    </row>
    <row r="9406">
      <c r="A9406" s="3" t="n">
        <v>2025</v>
      </c>
      <c r="B9406" s="4" t="n">
        <v>3646</v>
      </c>
      <c r="C9406" s="4" t="n">
        <v>744</v>
      </c>
      <c r="D9406" s="4" t="n">
        <v>225.06</v>
      </c>
      <c r="E9406" s="5" t="n">
        <v>16.2</v>
      </c>
      <c r="F9406" s="3" t="inlineStr">
        <is>
          <t>유구읍</t>
        </is>
      </c>
      <c r="G9406" s="3" t="inlineStr">
        <is>
          <t>유구리</t>
        </is>
      </c>
      <c r="H9406" s="3" t="inlineStr">
        <is>
          <t>계획관리지역</t>
        </is>
      </c>
      <c r="I9406" s="3" t="inlineStr">
        <is>
          <t>답</t>
        </is>
      </c>
      <c r="J9406" s="3" t="inlineStr">
        <is>
          <t>유구읍</t>
        </is>
      </c>
    </row>
    <row r="9407">
      <c r="A9407" s="3" t="n">
        <v>2025</v>
      </c>
      <c r="B9407" s="4" t="n">
        <v>1045</v>
      </c>
      <c r="C9407" s="4" t="n">
        <v>201</v>
      </c>
      <c r="D9407" s="4" t="n">
        <v>60.80249999999999</v>
      </c>
      <c r="E9407" s="5" t="n">
        <v>17.2</v>
      </c>
      <c r="F9407" s="3" t="inlineStr">
        <is>
          <t>유구읍</t>
        </is>
      </c>
      <c r="G9407" s="3" t="inlineStr">
        <is>
          <t>유구리</t>
        </is>
      </c>
      <c r="H9407" s="3" t="inlineStr">
        <is>
          <t>계획관리지역</t>
        </is>
      </c>
      <c r="I9407" s="3" t="inlineStr">
        <is>
          <t>답</t>
        </is>
      </c>
      <c r="J9407" s="3" t="inlineStr">
        <is>
          <t>유구읍</t>
        </is>
      </c>
    </row>
    <row r="9408">
      <c r="A9408" s="3" t="n">
        <v>2025</v>
      </c>
      <c r="B9408" s="4" t="n">
        <v>2330</v>
      </c>
      <c r="C9408" s="4" t="n">
        <v>448</v>
      </c>
      <c r="D9408" s="4" t="n">
        <v>135.52</v>
      </c>
      <c r="E9408" s="5" t="n">
        <v>17.2</v>
      </c>
      <c r="F9408" s="3" t="inlineStr">
        <is>
          <t>유구읍</t>
        </is>
      </c>
      <c r="G9408" s="3" t="inlineStr">
        <is>
          <t>유구리</t>
        </is>
      </c>
      <c r="H9408" s="3" t="inlineStr">
        <is>
          <t>계획관리지역</t>
        </is>
      </c>
      <c r="I9408" s="3" t="inlineStr">
        <is>
          <t>답</t>
        </is>
      </c>
      <c r="J9408" s="3" t="inlineStr">
        <is>
          <t>유구읍</t>
        </is>
      </c>
    </row>
    <row r="9409">
      <c r="A9409" s="3" t="n">
        <v>2025</v>
      </c>
      <c r="B9409" s="4" t="n">
        <v>2616</v>
      </c>
      <c r="C9409" s="4" t="n">
        <v>668</v>
      </c>
      <c r="D9409" s="4" t="n">
        <v>202.07</v>
      </c>
      <c r="E9409" s="5" t="n">
        <v>12.9</v>
      </c>
      <c r="F9409" s="3" t="inlineStr">
        <is>
          <t>유구읍</t>
        </is>
      </c>
      <c r="G9409" s="3" t="inlineStr">
        <is>
          <t>유구리</t>
        </is>
      </c>
      <c r="H9409" s="3" t="inlineStr">
        <is>
          <t>계획관리지역</t>
        </is>
      </c>
      <c r="I9409" s="3" t="inlineStr">
        <is>
          <t>답</t>
        </is>
      </c>
      <c r="J9409" s="3" t="inlineStr">
        <is>
          <t>유구읍</t>
        </is>
      </c>
    </row>
    <row r="9410">
      <c r="A9410" s="3" t="n">
        <v>2025</v>
      </c>
      <c r="B9410" s="4" t="n">
        <v>3785</v>
      </c>
      <c r="C9410" s="4" t="n">
        <v>757</v>
      </c>
      <c r="D9410" s="4" t="n">
        <v>228.9925</v>
      </c>
      <c r="E9410" s="5" t="n">
        <v>16.5</v>
      </c>
      <c r="F9410" s="3" t="inlineStr">
        <is>
          <t>유구읍</t>
        </is>
      </c>
      <c r="G9410" s="3" t="inlineStr">
        <is>
          <t>유구리</t>
        </is>
      </c>
      <c r="H9410" s="3" t="inlineStr">
        <is>
          <t>계획관리지역</t>
        </is>
      </c>
      <c r="I9410" s="3" t="inlineStr">
        <is>
          <t>답</t>
        </is>
      </c>
      <c r="J9410" s="3" t="inlineStr">
        <is>
          <t>유구읍</t>
        </is>
      </c>
    </row>
    <row r="9411">
      <c r="A9411" s="3" t="n">
        <v>2025</v>
      </c>
      <c r="B9411" s="4" t="n">
        <v>2100</v>
      </c>
      <c r="C9411" s="4" t="n">
        <v>420</v>
      </c>
      <c r="D9411" s="4" t="n">
        <v>127.05</v>
      </c>
      <c r="E9411" s="5" t="n">
        <v>16.5</v>
      </c>
      <c r="F9411" s="3" t="inlineStr">
        <is>
          <t>유구읍</t>
        </is>
      </c>
      <c r="G9411" s="3" t="inlineStr">
        <is>
          <t>유구리</t>
        </is>
      </c>
      <c r="H9411" s="3" t="inlineStr">
        <is>
          <t>계획관리지역</t>
        </is>
      </c>
      <c r="I9411" s="3" t="inlineStr">
        <is>
          <t>답</t>
        </is>
      </c>
      <c r="J9411" s="3" t="inlineStr">
        <is>
          <t>유구읍</t>
        </is>
      </c>
    </row>
    <row r="9412">
      <c r="A9412" s="3" t="n">
        <v>2025</v>
      </c>
      <c r="B9412" s="4" t="n">
        <v>5184</v>
      </c>
      <c r="C9412" s="4" t="n">
        <v>960</v>
      </c>
      <c r="D9412" s="4" t="n">
        <v>290.4</v>
      </c>
      <c r="E9412" s="5" t="n">
        <v>17.9</v>
      </c>
      <c r="F9412" s="3" t="inlineStr">
        <is>
          <t>유구읍</t>
        </is>
      </c>
      <c r="G9412" s="3" t="inlineStr">
        <is>
          <t>유구리</t>
        </is>
      </c>
      <c r="H9412" s="3" t="inlineStr">
        <is>
          <t>계획관리지역</t>
        </is>
      </c>
      <c r="I9412" s="3" t="inlineStr">
        <is>
          <t>답</t>
        </is>
      </c>
      <c r="J9412" s="3" t="inlineStr">
        <is>
          <t>유구읍</t>
        </is>
      </c>
    </row>
    <row r="9413">
      <c r="A9413" s="3" t="n">
        <v>2025</v>
      </c>
      <c r="B9413" s="4" t="n">
        <v>65</v>
      </c>
      <c r="C9413" s="4" t="n">
        <v>13</v>
      </c>
      <c r="D9413" s="4" t="n">
        <v>3.9325</v>
      </c>
      <c r="E9413" s="5" t="n">
        <v>16.5</v>
      </c>
      <c r="F9413" s="3" t="inlineStr">
        <is>
          <t>유구읍</t>
        </is>
      </c>
      <c r="G9413" s="3" t="inlineStr">
        <is>
          <t>유구리</t>
        </is>
      </c>
      <c r="H9413" s="3" t="inlineStr">
        <is>
          <t>계획관리지역</t>
        </is>
      </c>
      <c r="I9413" s="3" t="inlineStr">
        <is>
          <t>답</t>
        </is>
      </c>
      <c r="J9413" s="3" t="inlineStr">
        <is>
          <t>유구읍</t>
        </is>
      </c>
    </row>
    <row r="9414">
      <c r="A9414" s="3" t="n">
        <v>2025</v>
      </c>
      <c r="B9414" s="4" t="n">
        <v>1541</v>
      </c>
      <c r="C9414" s="4" t="n">
        <v>428</v>
      </c>
      <c r="D9414" s="4" t="n">
        <v>129.47</v>
      </c>
      <c r="E9414" s="5" t="n">
        <v>11.9</v>
      </c>
      <c r="F9414" s="3" t="inlineStr">
        <is>
          <t>유구읍</t>
        </is>
      </c>
      <c r="G9414" s="3" t="inlineStr">
        <is>
          <t>만천리</t>
        </is>
      </c>
      <c r="H9414" s="3" t="inlineStr">
        <is>
          <t>계획관리지역</t>
        </is>
      </c>
      <c r="I9414" s="3" t="inlineStr">
        <is>
          <t>답</t>
        </is>
      </c>
      <c r="J9414" s="3" t="inlineStr">
        <is>
          <t>유구읍</t>
        </is>
      </c>
    </row>
    <row r="9415">
      <c r="A9415" s="3" t="n">
        <v>2025</v>
      </c>
      <c r="B9415" s="4" t="n">
        <v>238</v>
      </c>
      <c r="C9415" s="4" t="n">
        <v>72</v>
      </c>
      <c r="D9415" s="4" t="n">
        <v>21.78</v>
      </c>
      <c r="E9415" s="5" t="n">
        <v>10.9</v>
      </c>
      <c r="F9415" s="3" t="inlineStr">
        <is>
          <t>유구읍</t>
        </is>
      </c>
      <c r="G9415" s="3" t="inlineStr">
        <is>
          <t>만천리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유구읍</t>
        </is>
      </c>
    </row>
    <row r="9416">
      <c r="A9416" s="3" t="n">
        <v>2025</v>
      </c>
      <c r="B9416" s="4" t="n">
        <v>698</v>
      </c>
      <c r="C9416" s="4" t="n">
        <v>194</v>
      </c>
      <c r="D9416" s="4" t="n">
        <v>58.685</v>
      </c>
      <c r="E9416" s="5" t="n">
        <v>11.9</v>
      </c>
      <c r="F9416" s="3" t="inlineStr">
        <is>
          <t>유구읍</t>
        </is>
      </c>
      <c r="G9416" s="3" t="inlineStr">
        <is>
          <t>만천리</t>
        </is>
      </c>
      <c r="H9416" s="3" t="inlineStr">
        <is>
          <t>계획관리지역</t>
        </is>
      </c>
      <c r="I9416" s="3" t="inlineStr">
        <is>
          <t>답</t>
        </is>
      </c>
      <c r="J9416" s="3" t="inlineStr">
        <is>
          <t>유구읍</t>
        </is>
      </c>
    </row>
    <row r="9417">
      <c r="A9417" s="3" t="n">
        <v>2025</v>
      </c>
      <c r="B9417" s="4" t="n">
        <v>3690</v>
      </c>
      <c r="C9417" s="4" t="n">
        <v>900</v>
      </c>
      <c r="D9417" s="4" t="n">
        <v>272.25</v>
      </c>
      <c r="E9417" s="5" t="n">
        <v>13.6</v>
      </c>
      <c r="F9417" s="3" t="inlineStr">
        <is>
          <t>유구읍</t>
        </is>
      </c>
      <c r="G9417" s="3" t="inlineStr">
        <is>
          <t>만천리</t>
        </is>
      </c>
      <c r="H9417" s="3" t="inlineStr">
        <is>
          <t>계획관리지역</t>
        </is>
      </c>
      <c r="I9417" s="3" t="inlineStr">
        <is>
          <t>전</t>
        </is>
      </c>
      <c r="J9417" s="3" t="inlineStr">
        <is>
          <t>유구읍</t>
        </is>
      </c>
    </row>
    <row r="9418">
      <c r="A9418" s="3" t="n">
        <v>2025</v>
      </c>
      <c r="B9418" s="4" t="n">
        <v>12780</v>
      </c>
      <c r="C9418" s="4" t="n">
        <v>1990</v>
      </c>
      <c r="D9418" s="4" t="n">
        <v>601.975</v>
      </c>
      <c r="E9418" s="5" t="n">
        <v>21.2</v>
      </c>
      <c r="F9418" s="3" t="inlineStr">
        <is>
          <t>유구읍</t>
        </is>
      </c>
      <c r="G9418" s="3" t="inlineStr">
        <is>
          <t>문금리</t>
        </is>
      </c>
      <c r="H9418" s="3" t="inlineStr">
        <is>
          <t>보전관리지역</t>
        </is>
      </c>
      <c r="I9418" s="3" t="inlineStr">
        <is>
          <t>전</t>
        </is>
      </c>
      <c r="J9418" s="3" t="inlineStr">
        <is>
          <t>유구읍</t>
        </is>
      </c>
    </row>
    <row r="9419">
      <c r="A9419" s="3" t="n">
        <v>2025</v>
      </c>
      <c r="B9419" s="4" t="n">
        <v>7220</v>
      </c>
      <c r="C9419" s="4" t="n">
        <v>1124</v>
      </c>
      <c r="D9419" s="4" t="n">
        <v>340.01</v>
      </c>
      <c r="E9419" s="5" t="n">
        <v>21.2</v>
      </c>
      <c r="F9419" s="3" t="inlineStr">
        <is>
          <t>유구읍</t>
        </is>
      </c>
      <c r="G9419" s="3" t="inlineStr">
        <is>
          <t>문금리</t>
        </is>
      </c>
      <c r="H9419" s="3" t="inlineStr">
        <is>
          <t>보전관리지역</t>
        </is>
      </c>
      <c r="I9419" s="3" t="inlineStr">
        <is>
          <t>전</t>
        </is>
      </c>
      <c r="J9419" s="3" t="inlineStr">
        <is>
          <t>유구읍</t>
        </is>
      </c>
    </row>
    <row r="9420">
      <c r="A9420" s="3" t="n">
        <v>2025</v>
      </c>
      <c r="B9420" s="4" t="n">
        <v>12697</v>
      </c>
      <c r="C9420" s="4" t="n">
        <v>3527</v>
      </c>
      <c r="D9420" s="4" t="n">
        <v>1066.9175</v>
      </c>
      <c r="E9420" s="5" t="n">
        <v>11.9</v>
      </c>
      <c r="F9420" s="3" t="inlineStr">
        <is>
          <t>유구읍</t>
        </is>
      </c>
      <c r="G9420" s="3" t="inlineStr">
        <is>
          <t>입석리</t>
        </is>
      </c>
      <c r="H9420" s="3" t="inlineStr">
        <is>
          <t>농림지역</t>
        </is>
      </c>
      <c r="I9420" s="3" t="inlineStr">
        <is>
          <t>답</t>
        </is>
      </c>
      <c r="J9420" s="3" t="inlineStr">
        <is>
          <t>유구읍</t>
        </is>
      </c>
    </row>
    <row r="9421">
      <c r="A9421" s="3" t="n">
        <v>2025</v>
      </c>
      <c r="B9421" s="4" t="n">
        <v>3000</v>
      </c>
      <c r="C9421" s="4" t="n">
        <v>431</v>
      </c>
      <c r="D9421" s="4" t="n">
        <v>130.3775</v>
      </c>
      <c r="E9421" s="5" t="n">
        <v>23</v>
      </c>
      <c r="F9421" s="3" t="inlineStr">
        <is>
          <t>유구읍</t>
        </is>
      </c>
      <c r="G9421" s="3" t="inlineStr">
        <is>
          <t>추계리</t>
        </is>
      </c>
      <c r="H9421" s="3" t="inlineStr">
        <is>
          <t>계획관리지역</t>
        </is>
      </c>
      <c r="I9421" s="3" t="inlineStr">
        <is>
          <t>전</t>
        </is>
      </c>
      <c r="J9421" s="3" t="inlineStr">
        <is>
          <t>유구읍</t>
        </is>
      </c>
    </row>
    <row r="9422">
      <c r="A9422" s="3" t="n">
        <v>2025</v>
      </c>
      <c r="B9422" s="4" t="n">
        <v>3476</v>
      </c>
      <c r="C9422" s="4" t="n">
        <v>1045</v>
      </c>
      <c r="D9422" s="4" t="n">
        <v>316.1125</v>
      </c>
      <c r="E9422" s="5" t="n">
        <v>11</v>
      </c>
      <c r="F9422" s="3" t="inlineStr">
        <is>
          <t>유구읍</t>
        </is>
      </c>
      <c r="G9422" s="3" t="inlineStr">
        <is>
          <t>만천리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유구읍</t>
        </is>
      </c>
    </row>
    <row r="9423">
      <c r="A9423" s="3" t="n">
        <v>2025</v>
      </c>
      <c r="B9423" s="4" t="n">
        <v>4488</v>
      </c>
      <c r="C9423" s="4" t="n">
        <v>1238</v>
      </c>
      <c r="D9423" s="4" t="n">
        <v>374.495</v>
      </c>
      <c r="E9423" s="5" t="n">
        <v>12</v>
      </c>
      <c r="F9423" s="3" t="inlineStr">
        <is>
          <t>유구읍</t>
        </is>
      </c>
      <c r="G9423" s="3" t="inlineStr">
        <is>
          <t>만천리</t>
        </is>
      </c>
      <c r="H9423" s="3" t="inlineStr">
        <is>
          <t>농림지역</t>
        </is>
      </c>
      <c r="I9423" s="3" t="inlineStr">
        <is>
          <t>답</t>
        </is>
      </c>
      <c r="J9423" s="3" t="inlineStr">
        <is>
          <t>유구읍</t>
        </is>
      </c>
    </row>
    <row r="9424">
      <c r="A9424" s="3" t="n">
        <v>2022</v>
      </c>
      <c r="B9424" s="4" t="n">
        <v>848</v>
      </c>
      <c r="C9424" s="4" t="n">
        <v>9421</v>
      </c>
      <c r="D9424" s="4" t="n">
        <v>2849.8525</v>
      </c>
      <c r="E9424" s="5" t="n">
        <v>0.3</v>
      </c>
      <c r="F9424" s="3" t="inlineStr">
        <is>
          <t>유구읍</t>
        </is>
      </c>
      <c r="G9424" s="3" t="inlineStr">
        <is>
          <t>추계리</t>
        </is>
      </c>
      <c r="H9424" s="3" t="inlineStr">
        <is>
          <t>농림지역</t>
        </is>
      </c>
      <c r="I9424" s="3" t="inlineStr">
        <is>
          <t>임야</t>
        </is>
      </c>
      <c r="J9424" s="3" t="inlineStr">
        <is>
          <t>유구읍</t>
        </is>
      </c>
    </row>
    <row r="9425">
      <c r="A9425" s="3" t="n">
        <v>2023</v>
      </c>
      <c r="B9425" s="4" t="n">
        <v>3800</v>
      </c>
      <c r="C9425" s="4" t="n">
        <v>684</v>
      </c>
      <c r="D9425" s="4" t="n">
        <v>206.91</v>
      </c>
      <c r="E9425" s="5" t="n">
        <v>18.4</v>
      </c>
      <c r="F9425" s="3" t="inlineStr">
        <is>
          <t>유구읍</t>
        </is>
      </c>
      <c r="G9425" s="3" t="inlineStr">
        <is>
          <t>추계리</t>
        </is>
      </c>
      <c r="H9425" s="3" t="inlineStr">
        <is>
          <t>보전관리지역</t>
        </is>
      </c>
      <c r="I9425" s="3" t="inlineStr">
        <is>
          <t>전</t>
        </is>
      </c>
      <c r="J9425" s="3" t="inlineStr">
        <is>
          <t>유구읍</t>
        </is>
      </c>
    </row>
    <row r="9426">
      <c r="A9426" s="3" t="n">
        <v>2026</v>
      </c>
      <c r="B9426" s="4" t="n">
        <v>700</v>
      </c>
      <c r="C9426" s="4" t="n">
        <v>39</v>
      </c>
      <c r="D9426" s="4" t="n">
        <v>11.7975</v>
      </c>
      <c r="E9426" s="5" t="n">
        <v>59.3</v>
      </c>
      <c r="F9426" s="3" t="inlineStr">
        <is>
          <t>유구읍</t>
        </is>
      </c>
      <c r="G9426" s="3" t="inlineStr">
        <is>
          <t>녹천리</t>
        </is>
      </c>
      <c r="H9426" s="3" t="inlineStr">
        <is>
          <t>준공업지역</t>
        </is>
      </c>
      <c r="I9426" s="3" t="inlineStr">
        <is>
          <t>대</t>
        </is>
      </c>
      <c r="J9426" s="3" t="inlineStr">
        <is>
          <t>유구읍</t>
        </is>
      </c>
    </row>
    <row r="9427">
      <c r="A9427" s="3" t="n">
        <v>2026</v>
      </c>
      <c r="B9427" s="4" t="n">
        <v>8350</v>
      </c>
      <c r="C9427" s="4" t="n">
        <v>2063</v>
      </c>
      <c r="D9427" s="4" t="n">
        <v>624.0575</v>
      </c>
      <c r="E9427" s="5" t="n">
        <v>13.4</v>
      </c>
      <c r="F9427" s="3" t="inlineStr">
        <is>
          <t>유구읍</t>
        </is>
      </c>
      <c r="G9427" s="3" t="inlineStr">
        <is>
          <t>석남리</t>
        </is>
      </c>
      <c r="H9427" s="3" t="inlineStr">
        <is>
          <t>계획관리지역</t>
        </is>
      </c>
      <c r="I9427" s="3" t="inlineStr">
        <is>
          <t>답</t>
        </is>
      </c>
      <c r="J9427" s="3" t="inlineStr">
        <is>
          <t>유구읍</t>
        </is>
      </c>
    </row>
    <row r="9428">
      <c r="A9428" s="3" t="n">
        <v>2022</v>
      </c>
      <c r="B9428" s="4" t="n">
        <v>4500</v>
      </c>
      <c r="C9428" s="4" t="n">
        <v>727</v>
      </c>
      <c r="D9428" s="4" t="n">
        <v>219.9175</v>
      </c>
      <c r="E9428" s="5" t="n">
        <v>20.5</v>
      </c>
      <c r="F9428" s="3" t="inlineStr">
        <is>
          <t>유구읍</t>
        </is>
      </c>
      <c r="G9428" s="3" t="inlineStr">
        <is>
          <t>구계리</t>
        </is>
      </c>
      <c r="H9428" s="3" t="inlineStr">
        <is>
          <t>계획관리지역</t>
        </is>
      </c>
      <c r="I9428" s="3" t="inlineStr">
        <is>
          <t>전</t>
        </is>
      </c>
      <c r="J9428" s="3" t="inlineStr">
        <is>
          <t>유구읍</t>
        </is>
      </c>
    </row>
    <row r="9429">
      <c r="A9429" s="3" t="n">
        <v>2022</v>
      </c>
      <c r="B9429" s="4" t="n">
        <v>6700</v>
      </c>
      <c r="C9429" s="4" t="n">
        <v>1731</v>
      </c>
      <c r="D9429" s="4" t="n">
        <v>523.6274999999999</v>
      </c>
      <c r="E9429" s="5" t="n">
        <v>12.8</v>
      </c>
      <c r="F9429" s="3" t="inlineStr">
        <is>
          <t>유구읍</t>
        </is>
      </c>
      <c r="G9429" s="3" t="inlineStr">
        <is>
          <t>만천리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유구읍</t>
        </is>
      </c>
    </row>
    <row r="9430">
      <c r="A9430" s="3" t="n">
        <v>2022</v>
      </c>
      <c r="B9430" s="4" t="n">
        <v>1528</v>
      </c>
      <c r="C9430" s="4" t="n">
        <v>684</v>
      </c>
      <c r="D9430" s="4" t="n">
        <v>206.91</v>
      </c>
      <c r="E9430" s="5" t="n">
        <v>7.4</v>
      </c>
      <c r="F9430" s="3" t="inlineStr">
        <is>
          <t>유구읍</t>
        </is>
      </c>
      <c r="G9430" s="3" t="inlineStr">
        <is>
          <t>동해리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유구읍</t>
        </is>
      </c>
    </row>
    <row r="9431">
      <c r="A9431" s="3" t="n">
        <v>2022</v>
      </c>
      <c r="B9431" s="4" t="n">
        <v>272</v>
      </c>
      <c r="C9431" s="4" t="n">
        <v>122</v>
      </c>
      <c r="D9431" s="4" t="n">
        <v>36.905</v>
      </c>
      <c r="E9431" s="5" t="n">
        <v>7.4</v>
      </c>
      <c r="F9431" s="3" t="inlineStr">
        <is>
          <t>유구읍</t>
        </is>
      </c>
      <c r="G9431" s="3" t="inlineStr">
        <is>
          <t>동해리</t>
        </is>
      </c>
      <c r="H9431" s="3" t="inlineStr">
        <is>
          <t>계획관리지역</t>
        </is>
      </c>
      <c r="I9431" s="3" t="inlineStr">
        <is>
          <t>답</t>
        </is>
      </c>
      <c r="J9431" s="3" t="inlineStr">
        <is>
          <t>유구읍</t>
        </is>
      </c>
    </row>
    <row r="9432">
      <c r="A9432" s="3" t="n">
        <v>2022</v>
      </c>
      <c r="B9432" s="4" t="n">
        <v>24000</v>
      </c>
      <c r="C9432" s="4" t="n">
        <v>20733</v>
      </c>
      <c r="D9432" s="4" t="n">
        <v>6271.7325</v>
      </c>
      <c r="E9432" s="5" t="n">
        <v>3.8</v>
      </c>
      <c r="F9432" s="3" t="inlineStr">
        <is>
          <t>유구읍</t>
        </is>
      </c>
      <c r="G9432" s="3" t="inlineStr">
        <is>
          <t>백교리</t>
        </is>
      </c>
      <c r="H9432" s="3" t="inlineStr">
        <is>
          <t>농림지역</t>
        </is>
      </c>
      <c r="I9432" s="3" t="inlineStr">
        <is>
          <t>임야</t>
        </is>
      </c>
      <c r="J9432" s="3" t="inlineStr">
        <is>
          <t>유구읍</t>
        </is>
      </c>
    </row>
    <row r="9433">
      <c r="A9433" s="3" t="n">
        <v>2022</v>
      </c>
      <c r="B9433" s="4" t="n">
        <v>81126</v>
      </c>
      <c r="C9433" s="4" t="n">
        <v>44493</v>
      </c>
      <c r="D9433" s="4" t="n">
        <v>13459.1325</v>
      </c>
      <c r="E9433" s="5" t="n">
        <v>6</v>
      </c>
      <c r="F9433" s="3" t="inlineStr">
        <is>
          <t>유구읍</t>
        </is>
      </c>
      <c r="G9433" s="3" t="inlineStr">
        <is>
          <t>유구리</t>
        </is>
      </c>
      <c r="H9433" s="3" t="inlineStr">
        <is>
          <t>계획관리지역</t>
        </is>
      </c>
      <c r="I9433" s="3" t="inlineStr">
        <is>
          <t>임야</t>
        </is>
      </c>
      <c r="J9433" s="3" t="inlineStr">
        <is>
          <t>유구읍</t>
        </is>
      </c>
    </row>
    <row r="9434">
      <c r="A9434" s="3" t="n">
        <v>2023</v>
      </c>
      <c r="B9434" s="4" t="n">
        <v>3560</v>
      </c>
      <c r="C9434" s="4" t="n">
        <v>466</v>
      </c>
      <c r="D9434" s="4" t="n">
        <v>140.965</v>
      </c>
      <c r="E9434" s="5" t="n">
        <v>25.3</v>
      </c>
      <c r="F9434" s="3" t="inlineStr">
        <is>
          <t>유구읍</t>
        </is>
      </c>
      <c r="G9434" s="3" t="inlineStr">
        <is>
          <t>입석리</t>
        </is>
      </c>
      <c r="H9434" s="3" t="inlineStr">
        <is>
          <t>보전관리지역</t>
        </is>
      </c>
      <c r="I9434" s="3" t="inlineStr">
        <is>
          <t>전</t>
        </is>
      </c>
      <c r="J9434" s="3" t="inlineStr">
        <is>
          <t>유구읍</t>
        </is>
      </c>
    </row>
    <row r="9435">
      <c r="A9435" s="3" t="n">
        <v>2023</v>
      </c>
      <c r="B9435" s="4" t="n">
        <v>6440</v>
      </c>
      <c r="C9435" s="4" t="n">
        <v>952</v>
      </c>
      <c r="D9435" s="4" t="n">
        <v>287.98</v>
      </c>
      <c r="E9435" s="5" t="n">
        <v>22.4</v>
      </c>
      <c r="F9435" s="3" t="inlineStr">
        <is>
          <t>유구읍</t>
        </is>
      </c>
      <c r="G9435" s="3" t="inlineStr">
        <is>
          <t>입석리</t>
        </is>
      </c>
      <c r="H9435" s="3" t="inlineStr">
        <is>
          <t>보전관리지역</t>
        </is>
      </c>
      <c r="I9435" s="3" t="inlineStr">
        <is>
          <t>전</t>
        </is>
      </c>
      <c r="J9435" s="3" t="inlineStr">
        <is>
          <t>유구읍</t>
        </is>
      </c>
    </row>
    <row r="9436">
      <c r="A9436" s="3" t="n">
        <v>2023</v>
      </c>
      <c r="B9436" s="4" t="n">
        <v>7026</v>
      </c>
      <c r="C9436" s="4" t="n">
        <v>982</v>
      </c>
      <c r="D9436" s="4" t="n">
        <v>297.055</v>
      </c>
      <c r="E9436" s="5" t="n">
        <v>23.7</v>
      </c>
      <c r="F9436" s="3" t="inlineStr">
        <is>
          <t>유구읍</t>
        </is>
      </c>
      <c r="G9436" s="3" t="inlineStr">
        <is>
          <t>입석리</t>
        </is>
      </c>
      <c r="H9436" s="3" t="inlineStr">
        <is>
          <t>보전관리지역</t>
        </is>
      </c>
      <c r="I9436" s="3" t="inlineStr">
        <is>
          <t>전</t>
        </is>
      </c>
      <c r="J9436" s="3" t="inlineStr">
        <is>
          <t>유구읍</t>
        </is>
      </c>
    </row>
    <row r="9437">
      <c r="A9437" s="3" t="n">
        <v>2023</v>
      </c>
      <c r="B9437" s="4" t="n">
        <v>4974</v>
      </c>
      <c r="C9437" s="4" t="n">
        <v>618</v>
      </c>
      <c r="D9437" s="4" t="n">
        <v>186.945</v>
      </c>
      <c r="E9437" s="5" t="n">
        <v>26.6</v>
      </c>
      <c r="F9437" s="3" t="inlineStr">
        <is>
          <t>유구읍</t>
        </is>
      </c>
      <c r="G9437" s="3" t="inlineStr">
        <is>
          <t>입석리</t>
        </is>
      </c>
      <c r="H9437" s="3" t="inlineStr">
        <is>
          <t>보전관리지역</t>
        </is>
      </c>
      <c r="I9437" s="3" t="inlineStr">
        <is>
          <t>전</t>
        </is>
      </c>
      <c r="J9437" s="3" t="inlineStr">
        <is>
          <t>유구읍</t>
        </is>
      </c>
    </row>
    <row r="9438">
      <c r="A9438" s="3" t="n">
        <v>2023</v>
      </c>
      <c r="B9438" s="4" t="n">
        <v>5073</v>
      </c>
      <c r="C9438" s="4" t="n">
        <v>5649</v>
      </c>
      <c r="D9438" s="4" t="n">
        <v>1708.8225</v>
      </c>
      <c r="E9438" s="5" t="n">
        <v>3</v>
      </c>
      <c r="F9438" s="3" t="inlineStr">
        <is>
          <t>유구읍</t>
        </is>
      </c>
      <c r="G9438" s="3" t="inlineStr">
        <is>
          <t>만천리</t>
        </is>
      </c>
      <c r="H9438" s="3" t="inlineStr">
        <is>
          <t>계획관리지역</t>
        </is>
      </c>
      <c r="I9438" s="3" t="inlineStr">
        <is>
          <t>묘지</t>
        </is>
      </c>
      <c r="J9438" s="3" t="inlineStr">
        <is>
          <t>유구읍</t>
        </is>
      </c>
    </row>
    <row r="9439">
      <c r="A9439" s="3" t="n">
        <v>2023</v>
      </c>
      <c r="B9439" s="4" t="n">
        <v>9000</v>
      </c>
      <c r="C9439" s="4" t="n">
        <v>2645</v>
      </c>
      <c r="D9439" s="4" t="n">
        <v>800.1125</v>
      </c>
      <c r="E9439" s="5" t="n">
        <v>11.2</v>
      </c>
      <c r="F9439" s="3" t="inlineStr">
        <is>
          <t>유구읍</t>
        </is>
      </c>
      <c r="G9439" s="3" t="inlineStr">
        <is>
          <t>유구리</t>
        </is>
      </c>
      <c r="H9439" s="3" t="inlineStr">
        <is>
          <t>농림지역</t>
        </is>
      </c>
      <c r="I9439" s="3" t="inlineStr">
        <is>
          <t>전</t>
        </is>
      </c>
      <c r="J9439" s="3" t="inlineStr">
        <is>
          <t>유구읍</t>
        </is>
      </c>
    </row>
    <row r="9440">
      <c r="A9440" s="3" t="n">
        <v>2023</v>
      </c>
      <c r="B9440" s="4" t="n">
        <v>850</v>
      </c>
      <c r="C9440" s="4" t="n">
        <v>120</v>
      </c>
      <c r="D9440" s="4" t="n">
        <v>36.3</v>
      </c>
      <c r="E9440" s="5" t="n">
        <v>23.4</v>
      </c>
      <c r="F9440" s="3" t="inlineStr">
        <is>
          <t>유구읍</t>
        </is>
      </c>
      <c r="G9440" s="3" t="inlineStr">
        <is>
          <t>추계리</t>
        </is>
      </c>
      <c r="H9440" s="3" t="inlineStr">
        <is>
          <t>보전관리지역</t>
        </is>
      </c>
      <c r="I9440" s="3" t="inlineStr">
        <is>
          <t>답</t>
        </is>
      </c>
      <c r="J9440" s="3" t="inlineStr">
        <is>
          <t>유구읍</t>
        </is>
      </c>
    </row>
    <row r="9441">
      <c r="A9441" s="3" t="n">
        <v>2023</v>
      </c>
      <c r="B9441" s="4" t="n">
        <v>80</v>
      </c>
      <c r="C9441" s="4" t="n">
        <v>11</v>
      </c>
      <c r="D9441" s="4" t="n">
        <v>3.3275</v>
      </c>
      <c r="E9441" s="5" t="n">
        <v>24</v>
      </c>
      <c r="F9441" s="3" t="inlineStr">
        <is>
          <t>유구읍</t>
        </is>
      </c>
      <c r="G9441" s="3" t="inlineStr">
        <is>
          <t>추계리</t>
        </is>
      </c>
      <c r="H9441" s="3" t="inlineStr">
        <is>
          <t>보전관리지역</t>
        </is>
      </c>
      <c r="I9441" s="3" t="inlineStr">
        <is>
          <t>답</t>
        </is>
      </c>
      <c r="J9441" s="3" t="inlineStr">
        <is>
          <t>유구읍</t>
        </is>
      </c>
    </row>
    <row r="9442">
      <c r="A9442" s="3" t="n">
        <v>2023</v>
      </c>
      <c r="B9442" s="4" t="n">
        <v>3996</v>
      </c>
      <c r="C9442" s="4" t="n">
        <v>264</v>
      </c>
      <c r="D9442" s="4" t="n">
        <v>79.86</v>
      </c>
      <c r="E9442" s="5" t="n">
        <v>50</v>
      </c>
      <c r="F9442" s="3" t="inlineStr">
        <is>
          <t>유구읍</t>
        </is>
      </c>
      <c r="G9442" s="3" t="inlineStr">
        <is>
          <t>유구리</t>
        </is>
      </c>
      <c r="H9442" s="3" t="inlineStr">
        <is>
          <t>자연녹지지역</t>
        </is>
      </c>
      <c r="I9442" s="3" t="inlineStr">
        <is>
          <t>전</t>
        </is>
      </c>
      <c r="J9442" s="3" t="inlineStr">
        <is>
          <t>유구읍</t>
        </is>
      </c>
    </row>
    <row r="9443">
      <c r="A9443" s="3" t="n">
        <v>2023</v>
      </c>
      <c r="B9443" s="4" t="n">
        <v>14154</v>
      </c>
      <c r="C9443" s="4" t="n">
        <v>936</v>
      </c>
      <c r="D9443" s="4" t="n">
        <v>283.14</v>
      </c>
      <c r="E9443" s="5" t="n">
        <v>50</v>
      </c>
      <c r="F9443" s="3" t="inlineStr">
        <is>
          <t>유구읍</t>
        </is>
      </c>
      <c r="G9443" s="3" t="inlineStr">
        <is>
          <t>유구리</t>
        </is>
      </c>
      <c r="H9443" s="3" t="inlineStr">
        <is>
          <t>자연녹지지역</t>
        </is>
      </c>
      <c r="I9443" s="3" t="inlineStr">
        <is>
          <t>전</t>
        </is>
      </c>
      <c r="J9443" s="3" t="inlineStr">
        <is>
          <t>유구읍</t>
        </is>
      </c>
    </row>
    <row r="9444">
      <c r="A9444" s="3" t="n">
        <v>2023</v>
      </c>
      <c r="B9444" s="4" t="n">
        <v>6500</v>
      </c>
      <c r="C9444" s="4" t="n">
        <v>430</v>
      </c>
      <c r="D9444" s="4" t="n">
        <v>130.075</v>
      </c>
      <c r="E9444" s="5" t="n">
        <v>50</v>
      </c>
      <c r="F9444" s="3" t="inlineStr">
        <is>
          <t>유구읍</t>
        </is>
      </c>
      <c r="G9444" s="3" t="inlineStr">
        <is>
          <t>유구리</t>
        </is>
      </c>
      <c r="H9444" s="3" t="inlineStr">
        <is>
          <t>자연녹지지역</t>
        </is>
      </c>
      <c r="I9444" s="3" t="inlineStr">
        <is>
          <t>전</t>
        </is>
      </c>
      <c r="J9444" s="3" t="inlineStr">
        <is>
          <t>유구읍</t>
        </is>
      </c>
    </row>
    <row r="9445">
      <c r="A9445" s="3" t="n">
        <v>2023</v>
      </c>
      <c r="B9445" s="4" t="n">
        <v>4400</v>
      </c>
      <c r="C9445" s="4" t="n">
        <v>1788</v>
      </c>
      <c r="D9445" s="4" t="n">
        <v>540.87</v>
      </c>
      <c r="E9445" s="5" t="n">
        <v>8.1</v>
      </c>
      <c r="F9445" s="3" t="inlineStr">
        <is>
          <t>유구읍</t>
        </is>
      </c>
      <c r="G9445" s="3" t="inlineStr">
        <is>
          <t>추계리</t>
        </is>
      </c>
      <c r="H9445" s="3" t="inlineStr">
        <is>
          <t>계획관리지역</t>
        </is>
      </c>
      <c r="I9445" s="3" t="inlineStr">
        <is>
          <t>전</t>
        </is>
      </c>
      <c r="J9445" s="3" t="inlineStr">
        <is>
          <t>유구읍</t>
        </is>
      </c>
    </row>
    <row r="9446">
      <c r="A9446" s="3" t="n">
        <v>2023</v>
      </c>
      <c r="B9446" s="4" t="n">
        <v>2500</v>
      </c>
      <c r="C9446" s="4" t="n">
        <v>520</v>
      </c>
      <c r="D9446" s="4" t="n">
        <v>157.3</v>
      </c>
      <c r="E9446" s="5" t="n">
        <v>15.9</v>
      </c>
      <c r="F9446" s="3" t="inlineStr">
        <is>
          <t>유구읍</t>
        </is>
      </c>
      <c r="G9446" s="3" t="inlineStr">
        <is>
          <t>신달리</t>
        </is>
      </c>
      <c r="H9446" s="3" t="inlineStr">
        <is>
          <t>계획관리지역</t>
        </is>
      </c>
      <c r="I9446" s="3" t="inlineStr">
        <is>
          <t>대</t>
        </is>
      </c>
      <c r="J9446" s="3" t="inlineStr">
        <is>
          <t>유구읍</t>
        </is>
      </c>
    </row>
    <row r="9447">
      <c r="A9447" s="3" t="n">
        <v>2023</v>
      </c>
      <c r="B9447" s="4" t="n">
        <v>8500</v>
      </c>
      <c r="C9447" s="4" t="n">
        <v>1830</v>
      </c>
      <c r="D9447" s="4" t="n">
        <v>553.5749999999999</v>
      </c>
      <c r="E9447" s="5" t="n">
        <v>15.4</v>
      </c>
      <c r="F9447" s="3" t="inlineStr">
        <is>
          <t>유구읍</t>
        </is>
      </c>
      <c r="G9447" s="3" t="inlineStr">
        <is>
          <t>신달리</t>
        </is>
      </c>
      <c r="H9447" s="3" t="inlineStr">
        <is>
          <t>계획관리지역</t>
        </is>
      </c>
      <c r="I9447" s="3" t="inlineStr">
        <is>
          <t>답</t>
        </is>
      </c>
      <c r="J9447" s="3" t="inlineStr">
        <is>
          <t>유구읍</t>
        </is>
      </c>
    </row>
    <row r="9448">
      <c r="A9448" s="3" t="n">
        <v>2023</v>
      </c>
      <c r="B9448" s="4" t="n">
        <v>202</v>
      </c>
      <c r="C9448" s="4" t="n">
        <v>112</v>
      </c>
      <c r="D9448" s="4" t="n">
        <v>33.88</v>
      </c>
      <c r="E9448" s="5" t="n">
        <v>6</v>
      </c>
      <c r="F9448" s="3" t="inlineStr">
        <is>
          <t>유구읍</t>
        </is>
      </c>
      <c r="G9448" s="3" t="inlineStr">
        <is>
          <t>유구리</t>
        </is>
      </c>
      <c r="H9448" s="3" t="inlineStr">
        <is>
          <t>계획관리지역</t>
        </is>
      </c>
      <c r="I9448" s="3" t="inlineStr">
        <is>
          <t>임야</t>
        </is>
      </c>
      <c r="J9448" s="3" t="inlineStr">
        <is>
          <t>유구읍</t>
        </is>
      </c>
    </row>
    <row r="9449">
      <c r="A9449" s="3" t="n">
        <v>2023</v>
      </c>
      <c r="B9449" s="4" t="n">
        <v>269</v>
      </c>
      <c r="C9449" s="4" t="n">
        <v>595</v>
      </c>
      <c r="D9449" s="4" t="n">
        <v>179.9875</v>
      </c>
      <c r="E9449" s="5" t="n">
        <v>1.5</v>
      </c>
      <c r="F9449" s="3" t="inlineStr">
        <is>
          <t>유구읍</t>
        </is>
      </c>
      <c r="G9449" s="3" t="inlineStr">
        <is>
          <t>녹천리</t>
        </is>
      </c>
      <c r="H9449" s="3" t="inlineStr">
        <is>
          <t>자연녹지지역</t>
        </is>
      </c>
      <c r="I9449" s="3" t="inlineStr">
        <is>
          <t>임야</t>
        </is>
      </c>
      <c r="J9449" s="3" t="inlineStr">
        <is>
          <t>유구읍</t>
        </is>
      </c>
    </row>
    <row r="9450">
      <c r="A9450" s="3" t="n">
        <v>2023</v>
      </c>
      <c r="B9450" s="4" t="n">
        <v>9900</v>
      </c>
      <c r="C9450" s="4" t="n">
        <v>1693</v>
      </c>
      <c r="D9450" s="4" t="n">
        <v>512.1324999999999</v>
      </c>
      <c r="E9450" s="5" t="n">
        <v>19.3</v>
      </c>
      <c r="F9450" s="3" t="inlineStr">
        <is>
          <t>유구읍</t>
        </is>
      </c>
      <c r="G9450" s="3" t="inlineStr">
        <is>
          <t>만천리</t>
        </is>
      </c>
      <c r="H9450" s="3" t="inlineStr">
        <is>
          <t>농림지역</t>
        </is>
      </c>
      <c r="I9450" s="3" t="inlineStr">
        <is>
          <t>답</t>
        </is>
      </c>
      <c r="J9450" s="3" t="inlineStr">
        <is>
          <t>유구읍</t>
        </is>
      </c>
    </row>
    <row r="9451">
      <c r="A9451" s="3" t="n">
        <v>2023</v>
      </c>
      <c r="B9451" s="4" t="n">
        <v>3200</v>
      </c>
      <c r="C9451" s="4" t="n">
        <v>704</v>
      </c>
      <c r="D9451" s="4" t="n">
        <v>212.96</v>
      </c>
      <c r="E9451" s="5" t="n">
        <v>15</v>
      </c>
      <c r="F9451" s="3" t="inlineStr">
        <is>
          <t>유구읍</t>
        </is>
      </c>
      <c r="G9451" s="3" t="inlineStr">
        <is>
          <t>추계리</t>
        </is>
      </c>
      <c r="H9451" s="3" t="inlineStr">
        <is>
          <t>보전관리지역</t>
        </is>
      </c>
      <c r="I9451" s="3" t="inlineStr">
        <is>
          <t>답</t>
        </is>
      </c>
      <c r="J9451" s="3" t="inlineStr">
        <is>
          <t>유구읍</t>
        </is>
      </c>
    </row>
    <row r="9452">
      <c r="A9452" s="3" t="n">
        <v>2023</v>
      </c>
      <c r="B9452" s="4" t="n">
        <v>4600</v>
      </c>
      <c r="C9452" s="4" t="n">
        <v>1002</v>
      </c>
      <c r="D9452" s="4" t="n">
        <v>303.105</v>
      </c>
      <c r="E9452" s="5" t="n">
        <v>15.2</v>
      </c>
      <c r="F9452" s="3" t="inlineStr">
        <is>
          <t>유구읍</t>
        </is>
      </c>
      <c r="G9452" s="3" t="inlineStr">
        <is>
          <t>추계리</t>
        </is>
      </c>
      <c r="H9452" s="3" t="inlineStr">
        <is>
          <t>보전관리지역</t>
        </is>
      </c>
      <c r="I9452" s="3" t="inlineStr">
        <is>
          <t>답</t>
        </is>
      </c>
      <c r="J9452" s="3" t="inlineStr">
        <is>
          <t>유구읍</t>
        </is>
      </c>
    </row>
    <row r="9453">
      <c r="A9453" s="3" t="n">
        <v>2023</v>
      </c>
      <c r="B9453" s="4" t="n">
        <v>9200</v>
      </c>
      <c r="C9453" s="4" t="n">
        <v>1051</v>
      </c>
      <c r="D9453" s="4" t="n">
        <v>317.9275</v>
      </c>
      <c r="E9453" s="5" t="n">
        <v>28.9</v>
      </c>
      <c r="F9453" s="3" t="inlineStr">
        <is>
          <t>유구읍</t>
        </is>
      </c>
      <c r="G9453" s="3" t="inlineStr">
        <is>
          <t>추계리</t>
        </is>
      </c>
      <c r="H9453" s="3" t="inlineStr">
        <is>
          <t>보전관리지역</t>
        </is>
      </c>
      <c r="I9453" s="3" t="inlineStr">
        <is>
          <t>전</t>
        </is>
      </c>
      <c r="J9453" s="3" t="inlineStr">
        <is>
          <t>유구읍</t>
        </is>
      </c>
    </row>
    <row r="9454">
      <c r="A9454" s="3" t="n">
        <v>2023</v>
      </c>
      <c r="B9454" s="4" t="n">
        <v>1300</v>
      </c>
      <c r="C9454" s="4" t="n">
        <v>149</v>
      </c>
      <c r="D9454" s="4" t="n">
        <v>45.0725</v>
      </c>
      <c r="E9454" s="5" t="n">
        <v>28.8</v>
      </c>
      <c r="F9454" s="3" t="inlineStr">
        <is>
          <t>유구읍</t>
        </is>
      </c>
      <c r="G9454" s="3" t="inlineStr">
        <is>
          <t>추계리</t>
        </is>
      </c>
      <c r="H9454" s="3" t="inlineStr">
        <is>
          <t>보전관리지역</t>
        </is>
      </c>
      <c r="I9454" s="3" t="inlineStr">
        <is>
          <t>전</t>
        </is>
      </c>
      <c r="J9454" s="3" t="inlineStr">
        <is>
          <t>유구읍</t>
        </is>
      </c>
    </row>
    <row r="9455">
      <c r="A9455" s="3" t="n">
        <v>2023</v>
      </c>
      <c r="B9455" s="4" t="n">
        <v>4000</v>
      </c>
      <c r="C9455" s="4" t="n">
        <v>271</v>
      </c>
      <c r="D9455" s="4" t="n">
        <v>81.97749999999999</v>
      </c>
      <c r="E9455" s="5" t="n">
        <v>48.8</v>
      </c>
      <c r="F9455" s="3" t="inlineStr">
        <is>
          <t>유구읍</t>
        </is>
      </c>
      <c r="G9455" s="3" t="inlineStr">
        <is>
          <t>구계리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유구읍</t>
        </is>
      </c>
    </row>
    <row r="9456">
      <c r="A9456" s="3" t="n">
        <v>2023</v>
      </c>
      <c r="B9456" s="4" t="n">
        <v>11500</v>
      </c>
      <c r="C9456" s="4" t="n">
        <v>797</v>
      </c>
      <c r="D9456" s="4" t="n">
        <v>241.0925</v>
      </c>
      <c r="E9456" s="5" t="n">
        <v>47.7</v>
      </c>
      <c r="F9456" s="3" t="inlineStr">
        <is>
          <t>유구읍</t>
        </is>
      </c>
      <c r="G9456" s="3" t="inlineStr">
        <is>
          <t>구계리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유구읍</t>
        </is>
      </c>
    </row>
    <row r="9457">
      <c r="A9457" s="3" t="n">
        <v>2023</v>
      </c>
      <c r="B9457" s="4" t="n">
        <v>14000</v>
      </c>
      <c r="C9457" s="4" t="n">
        <v>785</v>
      </c>
      <c r="D9457" s="4" t="n">
        <v>237.4625</v>
      </c>
      <c r="E9457" s="5" t="n">
        <v>59</v>
      </c>
      <c r="F9457" s="3" t="inlineStr">
        <is>
          <t>유구읍</t>
        </is>
      </c>
      <c r="G9457" s="3" t="inlineStr">
        <is>
          <t>유구리</t>
        </is>
      </c>
      <c r="H9457" s="3" t="inlineStr">
        <is>
          <t>자연녹지지역</t>
        </is>
      </c>
      <c r="I9457" s="3" t="inlineStr">
        <is>
          <t>답</t>
        </is>
      </c>
      <c r="J9457" s="3" t="inlineStr">
        <is>
          <t>유구읍</t>
        </is>
      </c>
    </row>
    <row r="9458">
      <c r="A9458" s="3" t="n">
        <v>2023</v>
      </c>
      <c r="B9458" s="4" t="n">
        <v>25000</v>
      </c>
      <c r="C9458" s="4" t="n">
        <v>718</v>
      </c>
      <c r="D9458" s="4" t="n">
        <v>217.195</v>
      </c>
      <c r="E9458" s="5" t="n">
        <v>115.1</v>
      </c>
      <c r="F9458" s="3" t="inlineStr">
        <is>
          <t>유구읍</t>
        </is>
      </c>
      <c r="G9458" s="3" t="inlineStr">
        <is>
          <t>유구리</t>
        </is>
      </c>
      <c r="H9458" s="3" t="inlineStr">
        <is>
          <t>자연녹지지역</t>
        </is>
      </c>
      <c r="I9458" s="3" t="inlineStr">
        <is>
          <t>답</t>
        </is>
      </c>
      <c r="J9458" s="3" t="inlineStr">
        <is>
          <t>유구읍</t>
        </is>
      </c>
    </row>
    <row r="9459">
      <c r="A9459" s="3" t="n">
        <v>2023</v>
      </c>
      <c r="B9459" s="4" t="n">
        <v>5100</v>
      </c>
      <c r="C9459" s="4" t="n">
        <v>1405</v>
      </c>
      <c r="D9459" s="4" t="n">
        <v>425.0125</v>
      </c>
      <c r="E9459" s="5" t="n">
        <v>12</v>
      </c>
      <c r="F9459" s="3" t="inlineStr">
        <is>
          <t>유구읍</t>
        </is>
      </c>
      <c r="G9459" s="3" t="inlineStr">
        <is>
          <t>신영리</t>
        </is>
      </c>
      <c r="H9459" s="3" t="inlineStr">
        <is>
          <t>농림지역</t>
        </is>
      </c>
      <c r="I9459" s="3" t="inlineStr">
        <is>
          <t>답</t>
        </is>
      </c>
      <c r="J9459" s="3" t="inlineStr">
        <is>
          <t>유구읍</t>
        </is>
      </c>
    </row>
    <row r="9460">
      <c r="A9460" s="3" t="n">
        <v>2023</v>
      </c>
      <c r="B9460" s="4" t="n">
        <v>10900</v>
      </c>
      <c r="C9460" s="4" t="n">
        <v>3006.5</v>
      </c>
      <c r="D9460" s="4" t="n">
        <v>909.4662499999999</v>
      </c>
      <c r="E9460" s="5" t="n">
        <v>12</v>
      </c>
      <c r="F9460" s="3" t="inlineStr">
        <is>
          <t>유구읍</t>
        </is>
      </c>
      <c r="G9460" s="3" t="inlineStr">
        <is>
          <t>추계리</t>
        </is>
      </c>
      <c r="H9460" s="3" t="inlineStr">
        <is>
          <t>농림지역</t>
        </is>
      </c>
      <c r="I9460" s="3" t="inlineStr">
        <is>
          <t>답</t>
        </is>
      </c>
      <c r="J9460" s="3" t="inlineStr">
        <is>
          <t>유구읍</t>
        </is>
      </c>
    </row>
    <row r="9461">
      <c r="A9461" s="3" t="n">
        <v>2024</v>
      </c>
      <c r="B9461" s="4" t="n">
        <v>3800</v>
      </c>
      <c r="C9461" s="4" t="n">
        <v>1254</v>
      </c>
      <c r="D9461" s="4" t="n">
        <v>379.335</v>
      </c>
      <c r="E9461" s="5" t="n">
        <v>10</v>
      </c>
      <c r="F9461" s="3" t="inlineStr">
        <is>
          <t>유구읍</t>
        </is>
      </c>
      <c r="G9461" s="3" t="inlineStr">
        <is>
          <t>덕곡리</t>
        </is>
      </c>
      <c r="H9461" s="3" t="inlineStr">
        <is>
          <t>생산관리지역</t>
        </is>
      </c>
      <c r="I9461" s="3" t="inlineStr">
        <is>
          <t>전</t>
        </is>
      </c>
      <c r="J9461" s="3" t="inlineStr">
        <is>
          <t>유구읍</t>
        </is>
      </c>
    </row>
    <row r="9462">
      <c r="A9462" s="3" t="n">
        <v>2024</v>
      </c>
      <c r="B9462" s="4" t="n">
        <v>3800</v>
      </c>
      <c r="C9462" s="4" t="n">
        <v>1254</v>
      </c>
      <c r="D9462" s="4" t="n">
        <v>379.335</v>
      </c>
      <c r="E9462" s="5" t="n">
        <v>10</v>
      </c>
      <c r="F9462" s="3" t="inlineStr">
        <is>
          <t>유구읍</t>
        </is>
      </c>
      <c r="G9462" s="3" t="inlineStr">
        <is>
          <t>덕곡리</t>
        </is>
      </c>
      <c r="H9462" s="3" t="inlineStr">
        <is>
          <t>생산관리지역</t>
        </is>
      </c>
      <c r="I9462" s="3" t="inlineStr">
        <is>
          <t>전</t>
        </is>
      </c>
      <c r="J9462" s="3" t="inlineStr">
        <is>
          <t>유구읍</t>
        </is>
      </c>
    </row>
    <row r="9463">
      <c r="A9463" s="3" t="n">
        <v>2024</v>
      </c>
      <c r="B9463" s="4" t="n">
        <v>500</v>
      </c>
      <c r="C9463" s="4" t="n">
        <v>93</v>
      </c>
      <c r="D9463" s="4" t="n">
        <v>28.1325</v>
      </c>
      <c r="E9463" s="5" t="n">
        <v>17.8</v>
      </c>
      <c r="F9463" s="3" t="inlineStr">
        <is>
          <t>유구읍</t>
        </is>
      </c>
      <c r="G9463" s="3" t="inlineStr">
        <is>
          <t>녹천리</t>
        </is>
      </c>
      <c r="H9463" s="3" t="inlineStr">
        <is>
          <t>계획관리지역</t>
        </is>
      </c>
      <c r="I9463" s="3" t="inlineStr">
        <is>
          <t>답</t>
        </is>
      </c>
      <c r="J9463" s="3" t="inlineStr">
        <is>
          <t>유구읍</t>
        </is>
      </c>
    </row>
    <row r="9464">
      <c r="A9464" s="3" t="n">
        <v>2024</v>
      </c>
      <c r="B9464" s="4" t="n">
        <v>4500</v>
      </c>
      <c r="C9464" s="4" t="n">
        <v>397</v>
      </c>
      <c r="D9464" s="4" t="n">
        <v>120.0925</v>
      </c>
      <c r="E9464" s="5" t="n">
        <v>37.5</v>
      </c>
      <c r="F9464" s="3" t="inlineStr">
        <is>
          <t>유구읍</t>
        </is>
      </c>
      <c r="G9464" s="3" t="inlineStr">
        <is>
          <t>입석리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유구읍</t>
        </is>
      </c>
    </row>
    <row r="9465">
      <c r="A9465" s="3" t="n">
        <v>2024</v>
      </c>
      <c r="B9465" s="4" t="n">
        <v>1300</v>
      </c>
      <c r="C9465" s="4" t="n">
        <v>477</v>
      </c>
      <c r="D9465" s="4" t="n">
        <v>144.2925</v>
      </c>
      <c r="E9465" s="5" t="n">
        <v>9</v>
      </c>
      <c r="F9465" s="3" t="inlineStr">
        <is>
          <t>유구읍</t>
        </is>
      </c>
      <c r="G9465" s="3" t="inlineStr">
        <is>
          <t>추계리</t>
        </is>
      </c>
      <c r="H9465" s="3" t="inlineStr">
        <is>
          <t>농림지역</t>
        </is>
      </c>
      <c r="I9465" s="3" t="inlineStr">
        <is>
          <t>임야</t>
        </is>
      </c>
      <c r="J9465" s="3" t="inlineStr">
        <is>
          <t>유구읍</t>
        </is>
      </c>
    </row>
    <row r="9466">
      <c r="A9466" s="3" t="n">
        <v>2024</v>
      </c>
      <c r="B9466" s="4" t="n">
        <v>500</v>
      </c>
      <c r="C9466" s="4" t="n">
        <v>44</v>
      </c>
      <c r="D9466" s="4" t="n">
        <v>13.31</v>
      </c>
      <c r="E9466" s="5" t="n">
        <v>37.6</v>
      </c>
      <c r="F9466" s="3" t="inlineStr">
        <is>
          <t>유구읍</t>
        </is>
      </c>
      <c r="G9466" s="3" t="inlineStr">
        <is>
          <t>신달리</t>
        </is>
      </c>
      <c r="H9466" s="3" t="inlineStr">
        <is>
          <t>보전관리지역</t>
        </is>
      </c>
      <c r="I9466" s="3" t="inlineStr">
        <is>
          <t>답</t>
        </is>
      </c>
      <c r="J9466" s="3" t="inlineStr">
        <is>
          <t>유구읍</t>
        </is>
      </c>
    </row>
    <row r="9467">
      <c r="A9467" s="3" t="n">
        <v>2024</v>
      </c>
      <c r="B9467" s="4" t="n">
        <v>5200</v>
      </c>
      <c r="C9467" s="4" t="n">
        <v>868</v>
      </c>
      <c r="D9467" s="4" t="n">
        <v>262.57</v>
      </c>
      <c r="E9467" s="5" t="n">
        <v>19.8</v>
      </c>
      <c r="F9467" s="3" t="inlineStr">
        <is>
          <t>유구읍</t>
        </is>
      </c>
      <c r="G9467" s="3" t="inlineStr">
        <is>
          <t>탑곡리</t>
        </is>
      </c>
      <c r="H9467" s="3" t="inlineStr">
        <is>
          <t>계획관리지역</t>
        </is>
      </c>
      <c r="I9467" s="3" t="inlineStr">
        <is>
          <t>답</t>
        </is>
      </c>
      <c r="J9467" s="3" t="inlineStr">
        <is>
          <t>유구읍</t>
        </is>
      </c>
    </row>
    <row r="9468">
      <c r="A9468" s="3" t="n">
        <v>2024</v>
      </c>
      <c r="B9468" s="4" t="n">
        <v>4400</v>
      </c>
      <c r="C9468" s="4" t="n">
        <v>659</v>
      </c>
      <c r="D9468" s="4" t="n">
        <v>199.3475</v>
      </c>
      <c r="E9468" s="5" t="n">
        <v>22.1</v>
      </c>
      <c r="F9468" s="3" t="inlineStr">
        <is>
          <t>유구읍</t>
        </is>
      </c>
      <c r="G9468" s="3" t="inlineStr">
        <is>
          <t>신달리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유구읍</t>
        </is>
      </c>
    </row>
    <row r="9469">
      <c r="A9469" s="3" t="n">
        <v>2024</v>
      </c>
      <c r="B9469" s="4" t="n">
        <v>150</v>
      </c>
      <c r="C9469" s="4" t="n">
        <v>163</v>
      </c>
      <c r="D9469" s="4" t="n">
        <v>49.3075</v>
      </c>
      <c r="E9469" s="5" t="n">
        <v>3</v>
      </c>
      <c r="F9469" s="3" t="inlineStr">
        <is>
          <t>유구읍</t>
        </is>
      </c>
      <c r="G9469" s="3" t="inlineStr">
        <is>
          <t>신달리</t>
        </is>
      </c>
      <c r="H9469" s="3" t="inlineStr">
        <is>
          <t>보전관리지역</t>
        </is>
      </c>
      <c r="I9469" s="3" t="inlineStr">
        <is>
          <t>임야</t>
        </is>
      </c>
      <c r="J9469" s="3" t="inlineStr">
        <is>
          <t>유구읍</t>
        </is>
      </c>
    </row>
    <row r="9470">
      <c r="A9470" s="3" t="n">
        <v>2024</v>
      </c>
      <c r="B9470" s="4" t="n">
        <v>394</v>
      </c>
      <c r="C9470" s="4" t="n">
        <v>65</v>
      </c>
      <c r="D9470" s="4" t="n">
        <v>19.6625</v>
      </c>
      <c r="E9470" s="5" t="n">
        <v>20</v>
      </c>
      <c r="F9470" s="3" t="inlineStr">
        <is>
          <t>유구읍</t>
        </is>
      </c>
      <c r="G9470" s="3" t="inlineStr">
        <is>
          <t>세동리</t>
        </is>
      </c>
      <c r="H9470" s="3" t="inlineStr">
        <is>
          <t>계획관리지역</t>
        </is>
      </c>
      <c r="I9470" s="3" t="inlineStr">
        <is>
          <t>대</t>
        </is>
      </c>
      <c r="J9470" s="3" t="inlineStr">
        <is>
          <t>유구읍</t>
        </is>
      </c>
    </row>
    <row r="9471">
      <c r="A9471" s="3" t="n">
        <v>2024</v>
      </c>
      <c r="B9471" s="4" t="n">
        <v>1495</v>
      </c>
      <c r="C9471" s="4" t="n">
        <v>247</v>
      </c>
      <c r="D9471" s="4" t="n">
        <v>74.7175</v>
      </c>
      <c r="E9471" s="5" t="n">
        <v>20</v>
      </c>
      <c r="F9471" s="3" t="inlineStr">
        <is>
          <t>유구읍</t>
        </is>
      </c>
      <c r="G9471" s="3" t="inlineStr">
        <is>
          <t>세동리</t>
        </is>
      </c>
      <c r="H9471" s="3" t="inlineStr">
        <is>
          <t>계획관리지역</t>
        </is>
      </c>
      <c r="I9471" s="3" t="inlineStr">
        <is>
          <t>전</t>
        </is>
      </c>
      <c r="J9471" s="3" t="inlineStr">
        <is>
          <t>유구읍</t>
        </is>
      </c>
    </row>
    <row r="9472">
      <c r="A9472" s="3" t="n">
        <v>2024</v>
      </c>
      <c r="B9472" s="4" t="n">
        <v>22500</v>
      </c>
      <c r="C9472" s="4" t="n">
        <v>4588</v>
      </c>
      <c r="D9472" s="4" t="n">
        <v>1387.87</v>
      </c>
      <c r="E9472" s="5" t="n">
        <v>16.2</v>
      </c>
      <c r="F9472" s="3" t="inlineStr">
        <is>
          <t>유구읍</t>
        </is>
      </c>
      <c r="G9472" s="3" t="inlineStr">
        <is>
          <t>석남리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유구읍</t>
        </is>
      </c>
    </row>
    <row r="9473">
      <c r="A9473" s="3" t="n">
        <v>2024</v>
      </c>
      <c r="B9473" s="4" t="n">
        <v>4140</v>
      </c>
      <c r="C9473" s="4" t="n">
        <v>1140</v>
      </c>
      <c r="D9473" s="4" t="n">
        <v>344.85</v>
      </c>
      <c r="E9473" s="5" t="n">
        <v>12</v>
      </c>
      <c r="F9473" s="3" t="inlineStr">
        <is>
          <t>유구읍</t>
        </is>
      </c>
      <c r="G9473" s="3" t="inlineStr">
        <is>
          <t>백교리</t>
        </is>
      </c>
      <c r="H9473" s="3" t="inlineStr">
        <is>
          <t>농림지역</t>
        </is>
      </c>
      <c r="I9473" s="3" t="inlineStr">
        <is>
          <t>전</t>
        </is>
      </c>
      <c r="J9473" s="3" t="inlineStr">
        <is>
          <t>유구읍</t>
        </is>
      </c>
    </row>
    <row r="9474">
      <c r="A9474" s="3" t="n">
        <v>2024</v>
      </c>
      <c r="B9474" s="4" t="n">
        <v>4500</v>
      </c>
      <c r="C9474" s="4" t="n">
        <v>496</v>
      </c>
      <c r="D9474" s="4" t="n">
        <v>150.04</v>
      </c>
      <c r="E9474" s="5" t="n">
        <v>30</v>
      </c>
      <c r="F9474" s="3" t="inlineStr">
        <is>
          <t>유구읍</t>
        </is>
      </c>
      <c r="G9474" s="3" t="inlineStr">
        <is>
          <t>명곡리</t>
        </is>
      </c>
      <c r="H9474" s="3" t="inlineStr">
        <is>
          <t>계획관리지역</t>
        </is>
      </c>
      <c r="I9474" s="3" t="inlineStr">
        <is>
          <t>전</t>
        </is>
      </c>
      <c r="J9474" s="3" t="inlineStr">
        <is>
          <t>유구읍</t>
        </is>
      </c>
    </row>
    <row r="9475">
      <c r="A9475" s="3" t="n">
        <v>2024</v>
      </c>
      <c r="B9475" s="4" t="n">
        <v>9060</v>
      </c>
      <c r="C9475" s="4" t="n">
        <v>998</v>
      </c>
      <c r="D9475" s="4" t="n">
        <v>301.895</v>
      </c>
      <c r="E9475" s="5" t="n">
        <v>30</v>
      </c>
      <c r="F9475" s="3" t="inlineStr">
        <is>
          <t>유구읍</t>
        </is>
      </c>
      <c r="G9475" s="3" t="inlineStr">
        <is>
          <t>명곡리</t>
        </is>
      </c>
      <c r="H9475" s="3" t="inlineStr">
        <is>
          <t>계획관리지역</t>
        </is>
      </c>
      <c r="I9475" s="3" t="inlineStr">
        <is>
          <t>전</t>
        </is>
      </c>
      <c r="J9475" s="3" t="inlineStr">
        <is>
          <t>유구읍</t>
        </is>
      </c>
    </row>
    <row r="9476">
      <c r="A9476" s="3" t="n">
        <v>2024</v>
      </c>
      <c r="B9476" s="4" t="n">
        <v>6300</v>
      </c>
      <c r="C9476" s="4" t="n">
        <v>277</v>
      </c>
      <c r="D9476" s="4" t="n">
        <v>83.7925</v>
      </c>
      <c r="E9476" s="5" t="n">
        <v>75.2</v>
      </c>
      <c r="F9476" s="3" t="inlineStr">
        <is>
          <t>유구읍</t>
        </is>
      </c>
      <c r="G9476" s="3" t="inlineStr">
        <is>
          <t>석남리</t>
        </is>
      </c>
      <c r="H9476" s="3" t="inlineStr">
        <is>
          <t>제2종일반주거지역</t>
        </is>
      </c>
      <c r="I9476" s="3" t="inlineStr">
        <is>
          <t>답</t>
        </is>
      </c>
      <c r="J9476" s="3" t="inlineStr">
        <is>
          <t>유구읍</t>
        </is>
      </c>
    </row>
    <row r="9477">
      <c r="A9477" s="3" t="n">
        <v>2024</v>
      </c>
      <c r="B9477" s="4" t="n">
        <v>4900</v>
      </c>
      <c r="C9477" s="4" t="n">
        <v>530</v>
      </c>
      <c r="D9477" s="4" t="n">
        <v>160.325</v>
      </c>
      <c r="E9477" s="5" t="n">
        <v>30.6</v>
      </c>
      <c r="F9477" s="3" t="inlineStr">
        <is>
          <t>유구읍</t>
        </is>
      </c>
      <c r="G9477" s="3" t="inlineStr">
        <is>
          <t>유구리</t>
        </is>
      </c>
      <c r="H9477" s="3" t="inlineStr">
        <is>
          <t>계획관리지역</t>
        </is>
      </c>
      <c r="I9477" s="3" t="inlineStr">
        <is>
          <t>대</t>
        </is>
      </c>
      <c r="J9477" s="3" t="inlineStr">
        <is>
          <t>유구읍</t>
        </is>
      </c>
    </row>
    <row r="9478">
      <c r="A9478" s="3" t="n">
        <v>2024</v>
      </c>
      <c r="B9478" s="4" t="n">
        <v>8180</v>
      </c>
      <c r="C9478" s="4" t="n">
        <v>2254</v>
      </c>
      <c r="D9478" s="4" t="n">
        <v>681.835</v>
      </c>
      <c r="E9478" s="5" t="n">
        <v>12</v>
      </c>
      <c r="F9478" s="3" t="inlineStr">
        <is>
          <t>유구읍</t>
        </is>
      </c>
      <c r="G9478" s="3" t="inlineStr">
        <is>
          <t>만천리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유구읍</t>
        </is>
      </c>
    </row>
    <row r="9479">
      <c r="A9479" s="3" t="n">
        <v>2024</v>
      </c>
      <c r="B9479" s="4" t="n">
        <v>15729</v>
      </c>
      <c r="C9479" s="4" t="n">
        <v>4033</v>
      </c>
      <c r="D9479" s="4" t="n">
        <v>1219.9825</v>
      </c>
      <c r="E9479" s="5" t="n">
        <v>12.9</v>
      </c>
      <c r="F9479" s="3" t="inlineStr">
        <is>
          <t>유구읍</t>
        </is>
      </c>
      <c r="G9479" s="3" t="inlineStr">
        <is>
          <t>백교리</t>
        </is>
      </c>
      <c r="H9479" s="3" t="inlineStr">
        <is>
          <t>계획관리지역</t>
        </is>
      </c>
      <c r="I9479" s="3" t="inlineStr">
        <is>
          <t>과수원</t>
        </is>
      </c>
      <c r="J9479" s="3" t="inlineStr">
        <is>
          <t>유구읍</t>
        </is>
      </c>
    </row>
    <row r="9480">
      <c r="A9480" s="3" t="n">
        <v>2024</v>
      </c>
      <c r="B9480" s="4" t="n">
        <v>3107</v>
      </c>
      <c r="C9480" s="4" t="n">
        <v>863</v>
      </c>
      <c r="D9480" s="4" t="n">
        <v>261.0575</v>
      </c>
      <c r="E9480" s="5" t="n">
        <v>11.9</v>
      </c>
      <c r="F9480" s="3" t="inlineStr">
        <is>
          <t>유구읍</t>
        </is>
      </c>
      <c r="G9480" s="3" t="inlineStr">
        <is>
          <t>백교리</t>
        </is>
      </c>
      <c r="H9480" s="3" t="inlineStr">
        <is>
          <t>계획관리지역</t>
        </is>
      </c>
      <c r="I9480" s="3" t="inlineStr">
        <is>
          <t>과수원</t>
        </is>
      </c>
      <c r="J9480" s="3" t="inlineStr">
        <is>
          <t>유구읍</t>
        </is>
      </c>
    </row>
    <row r="9481">
      <c r="A9481" s="3" t="n">
        <v>2024</v>
      </c>
      <c r="B9481" s="4" t="n">
        <v>1822</v>
      </c>
      <c r="C9481" s="4" t="n">
        <v>506</v>
      </c>
      <c r="D9481" s="4" t="n">
        <v>153.065</v>
      </c>
      <c r="E9481" s="5" t="n">
        <v>11.9</v>
      </c>
      <c r="F9481" s="3" t="inlineStr">
        <is>
          <t>유구읍</t>
        </is>
      </c>
      <c r="G9481" s="3" t="inlineStr">
        <is>
          <t>백교리</t>
        </is>
      </c>
      <c r="H9481" s="3" t="inlineStr">
        <is>
          <t>계획관리지역</t>
        </is>
      </c>
      <c r="I9481" s="3" t="inlineStr">
        <is>
          <t>과수원</t>
        </is>
      </c>
      <c r="J9481" s="3" t="inlineStr">
        <is>
          <t>유구읍</t>
        </is>
      </c>
    </row>
    <row r="9482">
      <c r="A9482" s="3" t="n">
        <v>2024</v>
      </c>
      <c r="B9482" s="4" t="n">
        <v>5713</v>
      </c>
      <c r="C9482" s="4" t="n">
        <v>1587</v>
      </c>
      <c r="D9482" s="4" t="n">
        <v>480.0675</v>
      </c>
      <c r="E9482" s="5" t="n">
        <v>11.9</v>
      </c>
      <c r="F9482" s="3" t="inlineStr">
        <is>
          <t>유구읍</t>
        </is>
      </c>
      <c r="G9482" s="3" t="inlineStr">
        <is>
          <t>백교리</t>
        </is>
      </c>
      <c r="H9482" s="3" t="inlineStr">
        <is>
          <t>계획관리지역</t>
        </is>
      </c>
      <c r="I9482" s="3" t="inlineStr">
        <is>
          <t>과수원</t>
        </is>
      </c>
      <c r="J9482" s="3" t="inlineStr">
        <is>
          <t>유구읍</t>
        </is>
      </c>
    </row>
    <row r="9483">
      <c r="A9483" s="3" t="n">
        <v>2024</v>
      </c>
      <c r="B9483" s="4" t="n">
        <v>11450</v>
      </c>
      <c r="C9483" s="4" t="n">
        <v>2936</v>
      </c>
      <c r="D9483" s="4" t="n">
        <v>888.14</v>
      </c>
      <c r="E9483" s="5" t="n">
        <v>12.9</v>
      </c>
      <c r="F9483" s="3" t="inlineStr">
        <is>
          <t>유구읍</t>
        </is>
      </c>
      <c r="G9483" s="3" t="inlineStr">
        <is>
          <t>백교리</t>
        </is>
      </c>
      <c r="H9483" s="3" t="inlineStr">
        <is>
          <t>계획관리지역</t>
        </is>
      </c>
      <c r="I9483" s="3" t="inlineStr">
        <is>
          <t>과수원</t>
        </is>
      </c>
      <c r="J9483" s="3" t="inlineStr">
        <is>
          <t>유구읍</t>
        </is>
      </c>
    </row>
    <row r="9484">
      <c r="A9484" s="3" t="n">
        <v>2024</v>
      </c>
      <c r="B9484" s="4" t="n">
        <v>5400</v>
      </c>
      <c r="C9484" s="4" t="n">
        <v>496</v>
      </c>
      <c r="D9484" s="4" t="n">
        <v>150.04</v>
      </c>
      <c r="E9484" s="5" t="n">
        <v>36</v>
      </c>
      <c r="F9484" s="3" t="inlineStr">
        <is>
          <t>유구읍</t>
        </is>
      </c>
      <c r="G9484" s="3" t="inlineStr">
        <is>
          <t>문금리</t>
        </is>
      </c>
      <c r="H9484" s="3" t="inlineStr">
        <is>
          <t>계획관리지역</t>
        </is>
      </c>
      <c r="I9484" s="3" t="inlineStr">
        <is>
          <t>전</t>
        </is>
      </c>
      <c r="J9484" s="3" t="inlineStr">
        <is>
          <t>유구읍</t>
        </is>
      </c>
    </row>
    <row r="9485">
      <c r="A9485" s="3" t="n">
        <v>2024</v>
      </c>
      <c r="B9485" s="4" t="n">
        <v>4000</v>
      </c>
      <c r="C9485" s="4" t="n">
        <v>550</v>
      </c>
      <c r="D9485" s="4" t="n">
        <v>166.375</v>
      </c>
      <c r="E9485" s="5" t="n">
        <v>24</v>
      </c>
      <c r="F9485" s="3" t="inlineStr">
        <is>
          <t>유구읍</t>
        </is>
      </c>
      <c r="G9485" s="3" t="inlineStr">
        <is>
          <t>유구리</t>
        </is>
      </c>
      <c r="H9485" s="3" t="inlineStr">
        <is>
          <t>자연녹지지역</t>
        </is>
      </c>
      <c r="I9485" s="3" t="inlineStr">
        <is>
          <t>대</t>
        </is>
      </c>
      <c r="J9485" s="3" t="inlineStr">
        <is>
          <t>유구읍</t>
        </is>
      </c>
    </row>
    <row r="9486">
      <c r="A9486" s="3" t="n">
        <v>2024</v>
      </c>
      <c r="B9486" s="4" t="n">
        <v>560</v>
      </c>
      <c r="C9486" s="4" t="n">
        <v>66</v>
      </c>
      <c r="D9486" s="4" t="n">
        <v>19.965</v>
      </c>
      <c r="E9486" s="5" t="n">
        <v>28</v>
      </c>
      <c r="F9486" s="3" t="inlineStr">
        <is>
          <t>유구읍</t>
        </is>
      </c>
      <c r="G9486" s="3" t="inlineStr">
        <is>
          <t>탑곡리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유구읍</t>
        </is>
      </c>
    </row>
    <row r="9487">
      <c r="A9487" s="3" t="n">
        <v>2024</v>
      </c>
      <c r="B9487" s="4" t="n">
        <v>19370</v>
      </c>
      <c r="C9487" s="4" t="n">
        <v>2261</v>
      </c>
      <c r="D9487" s="4" t="n">
        <v>683.9525</v>
      </c>
      <c r="E9487" s="5" t="n">
        <v>28.3</v>
      </c>
      <c r="F9487" s="3" t="inlineStr">
        <is>
          <t>유구읍</t>
        </is>
      </c>
      <c r="G9487" s="3" t="inlineStr">
        <is>
          <t>탑곡리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유구읍</t>
        </is>
      </c>
    </row>
    <row r="9488">
      <c r="A9488" s="3" t="n">
        <v>2024</v>
      </c>
      <c r="B9488" s="4" t="n">
        <v>3070</v>
      </c>
      <c r="C9488" s="4" t="n">
        <v>357</v>
      </c>
      <c r="D9488" s="4" t="n">
        <v>107.9925</v>
      </c>
      <c r="E9488" s="5" t="n">
        <v>28.4</v>
      </c>
      <c r="F9488" s="3" t="inlineStr">
        <is>
          <t>유구읍</t>
        </is>
      </c>
      <c r="G9488" s="3" t="inlineStr">
        <is>
          <t>탑곡리</t>
        </is>
      </c>
      <c r="H9488" s="3" t="inlineStr">
        <is>
          <t>계획관리지역</t>
        </is>
      </c>
      <c r="I9488" s="3" t="inlineStr">
        <is>
          <t>답</t>
        </is>
      </c>
      <c r="J9488" s="3" t="inlineStr">
        <is>
          <t>유구읍</t>
        </is>
      </c>
    </row>
    <row r="9489">
      <c r="A9489" s="3" t="n">
        <v>2024</v>
      </c>
      <c r="B9489" s="4" t="n">
        <v>3575</v>
      </c>
      <c r="C9489" s="4" t="n">
        <v>473</v>
      </c>
      <c r="D9489" s="4" t="n">
        <v>143.0825</v>
      </c>
      <c r="E9489" s="5" t="n">
        <v>25</v>
      </c>
      <c r="F9489" s="3" t="inlineStr">
        <is>
          <t>유구읍</t>
        </is>
      </c>
      <c r="G9489" s="3" t="inlineStr">
        <is>
          <t>유구리</t>
        </is>
      </c>
      <c r="H9489" s="3" t="inlineStr">
        <is>
          <t>자연녹지지역</t>
        </is>
      </c>
      <c r="I9489" s="3" t="inlineStr">
        <is>
          <t>대</t>
        </is>
      </c>
      <c r="J9489" s="3" t="inlineStr">
        <is>
          <t>유구읍</t>
        </is>
      </c>
    </row>
    <row r="9490">
      <c r="A9490" s="3" t="n">
        <v>2024</v>
      </c>
      <c r="B9490" s="4" t="n">
        <v>425</v>
      </c>
      <c r="C9490" s="4" t="n">
        <v>57</v>
      </c>
      <c r="D9490" s="4" t="n">
        <v>17.2425</v>
      </c>
      <c r="E9490" s="5" t="n">
        <v>24.6</v>
      </c>
      <c r="F9490" s="3" t="inlineStr">
        <is>
          <t>유구읍</t>
        </is>
      </c>
      <c r="G9490" s="3" t="inlineStr">
        <is>
          <t>유구리</t>
        </is>
      </c>
      <c r="H9490" s="3" t="inlineStr">
        <is>
          <t>자연녹지지역</t>
        </is>
      </c>
      <c r="I9490" s="3" t="inlineStr">
        <is>
          <t>대</t>
        </is>
      </c>
      <c r="J9490" s="3" t="inlineStr">
        <is>
          <t>유구읍</t>
        </is>
      </c>
    </row>
    <row r="9491">
      <c r="A9491" s="3" t="n">
        <v>2024</v>
      </c>
      <c r="B9491" s="4" t="n">
        <v>1000</v>
      </c>
      <c r="C9491" s="4" t="n">
        <v>312</v>
      </c>
      <c r="D9491" s="4" t="n">
        <v>94.38</v>
      </c>
      <c r="E9491" s="5" t="n">
        <v>10.6</v>
      </c>
      <c r="F9491" s="3" t="inlineStr">
        <is>
          <t>유구읍</t>
        </is>
      </c>
      <c r="G9491" s="3" t="inlineStr">
        <is>
          <t>명곡리</t>
        </is>
      </c>
      <c r="H9491" s="3" t="inlineStr">
        <is>
          <t>계획관리지역</t>
        </is>
      </c>
      <c r="I9491" s="3" t="inlineStr">
        <is>
          <t>전</t>
        </is>
      </c>
      <c r="J9491" s="3" t="inlineStr">
        <is>
          <t>유구읍</t>
        </is>
      </c>
    </row>
    <row r="9492">
      <c r="A9492" s="3" t="n">
        <v>2024</v>
      </c>
      <c r="B9492" s="4" t="n">
        <v>1600</v>
      </c>
      <c r="C9492" s="4" t="n">
        <v>746</v>
      </c>
      <c r="D9492" s="4" t="n">
        <v>225.665</v>
      </c>
      <c r="E9492" s="5" t="n">
        <v>7.1</v>
      </c>
      <c r="F9492" s="3" t="inlineStr">
        <is>
          <t>유구읍</t>
        </is>
      </c>
      <c r="G9492" s="3" t="inlineStr">
        <is>
          <t>명곡리</t>
        </is>
      </c>
      <c r="H9492" s="3" t="inlineStr">
        <is>
          <t>계획관리지역</t>
        </is>
      </c>
      <c r="I9492" s="3" t="inlineStr">
        <is>
          <t>전</t>
        </is>
      </c>
      <c r="J9492" s="3" t="inlineStr">
        <is>
          <t>유구읍</t>
        </is>
      </c>
    </row>
    <row r="9493">
      <c r="A9493" s="3" t="n">
        <v>2024</v>
      </c>
      <c r="B9493" s="4" t="n">
        <v>800</v>
      </c>
      <c r="C9493" s="4" t="n">
        <v>436</v>
      </c>
      <c r="D9493" s="4" t="n">
        <v>131.89</v>
      </c>
      <c r="E9493" s="5" t="n">
        <v>6.1</v>
      </c>
      <c r="F9493" s="3" t="inlineStr">
        <is>
          <t>유구읍</t>
        </is>
      </c>
      <c r="G9493" s="3" t="inlineStr">
        <is>
          <t>유구리</t>
        </is>
      </c>
      <c r="H9493" s="3" t="inlineStr">
        <is>
          <t>제2종일반주거지역</t>
        </is>
      </c>
      <c r="I9493" s="3" t="inlineStr">
        <is>
          <t>임야</t>
        </is>
      </c>
      <c r="J9493" s="3" t="inlineStr">
        <is>
          <t>유구읍</t>
        </is>
      </c>
    </row>
    <row r="9494">
      <c r="A9494" s="3" t="n">
        <v>2025</v>
      </c>
      <c r="B9494" s="4" t="n">
        <v>2800</v>
      </c>
      <c r="C9494" s="4" t="n">
        <v>337</v>
      </c>
      <c r="D9494" s="4" t="n">
        <v>101.9425</v>
      </c>
      <c r="E9494" s="5" t="n">
        <v>27.5</v>
      </c>
      <c r="F9494" s="3" t="inlineStr">
        <is>
          <t>유구읍</t>
        </is>
      </c>
      <c r="G9494" s="3" t="inlineStr">
        <is>
          <t>녹천리</t>
        </is>
      </c>
      <c r="H9494" s="3" t="inlineStr">
        <is>
          <t>자연녹지지역</t>
        </is>
      </c>
      <c r="I9494" s="3" t="inlineStr">
        <is>
          <t>전</t>
        </is>
      </c>
      <c r="J9494" s="3" t="inlineStr">
        <is>
          <t>유구읍</t>
        </is>
      </c>
    </row>
    <row r="9495">
      <c r="A9495" s="3" t="n">
        <v>2025</v>
      </c>
      <c r="B9495" s="4" t="n">
        <v>5200</v>
      </c>
      <c r="C9495" s="4" t="n">
        <v>1561</v>
      </c>
      <c r="D9495" s="4" t="n">
        <v>472.2025</v>
      </c>
      <c r="E9495" s="5" t="n">
        <v>11</v>
      </c>
      <c r="F9495" s="3" t="inlineStr">
        <is>
          <t>유구읍</t>
        </is>
      </c>
      <c r="G9495" s="3" t="inlineStr">
        <is>
          <t>문금리</t>
        </is>
      </c>
      <c r="H9495" s="3" t="inlineStr">
        <is>
          <t>보전관리지역</t>
        </is>
      </c>
      <c r="I9495" s="3" t="inlineStr">
        <is>
          <t>답</t>
        </is>
      </c>
      <c r="J9495" s="3" t="inlineStr">
        <is>
          <t>유구읍</t>
        </is>
      </c>
    </row>
    <row r="9496">
      <c r="A9496" s="3" t="n">
        <v>2025</v>
      </c>
      <c r="B9496" s="4" t="n">
        <v>6200</v>
      </c>
      <c r="C9496" s="4" t="n">
        <v>1238</v>
      </c>
      <c r="D9496" s="4" t="n">
        <v>374.495</v>
      </c>
      <c r="E9496" s="5" t="n">
        <v>16.6</v>
      </c>
      <c r="F9496" s="3" t="inlineStr">
        <is>
          <t>유구읍</t>
        </is>
      </c>
      <c r="G9496" s="3" t="inlineStr">
        <is>
          <t>노동리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유구읍</t>
        </is>
      </c>
    </row>
    <row r="9497">
      <c r="A9497" s="3" t="n">
        <v>2025</v>
      </c>
      <c r="B9497" s="4" t="n">
        <v>1320</v>
      </c>
      <c r="C9497" s="4" t="n">
        <v>48</v>
      </c>
      <c r="D9497" s="4" t="n">
        <v>14.52</v>
      </c>
      <c r="E9497" s="5" t="n">
        <v>90.90000000000001</v>
      </c>
      <c r="F9497" s="3" t="inlineStr">
        <is>
          <t>유구읍</t>
        </is>
      </c>
      <c r="G9497" s="3" t="inlineStr">
        <is>
          <t>유구리</t>
        </is>
      </c>
      <c r="H9497" s="3" t="inlineStr">
        <is>
          <t>자연녹지지역</t>
        </is>
      </c>
      <c r="I9497" s="3" t="inlineStr">
        <is>
          <t>대</t>
        </is>
      </c>
      <c r="J9497" s="3" t="inlineStr">
        <is>
          <t>유구읍</t>
        </is>
      </c>
    </row>
    <row r="9498">
      <c r="A9498" s="3" t="n">
        <v>2025</v>
      </c>
      <c r="B9498" s="4" t="n">
        <v>3630</v>
      </c>
      <c r="C9498" s="4" t="n">
        <v>132</v>
      </c>
      <c r="D9498" s="4" t="n">
        <v>39.93</v>
      </c>
      <c r="E9498" s="5" t="n">
        <v>90.90000000000001</v>
      </c>
      <c r="F9498" s="3" t="inlineStr">
        <is>
          <t>유구읍</t>
        </is>
      </c>
      <c r="G9498" s="3" t="inlineStr">
        <is>
          <t>유구리</t>
        </is>
      </c>
      <c r="H9498" s="3" t="inlineStr">
        <is>
          <t>자연녹지지역</t>
        </is>
      </c>
      <c r="I9498" s="3" t="inlineStr">
        <is>
          <t>대</t>
        </is>
      </c>
      <c r="J9498" s="3" t="inlineStr">
        <is>
          <t>유구읍</t>
        </is>
      </c>
    </row>
    <row r="9499">
      <c r="A9499" s="3" t="n">
        <v>2025</v>
      </c>
      <c r="B9499" s="4" t="n">
        <v>13800</v>
      </c>
      <c r="C9499" s="4" t="n">
        <v>3276</v>
      </c>
      <c r="D9499" s="4" t="n">
        <v>990.99</v>
      </c>
      <c r="E9499" s="5" t="n">
        <v>13.9</v>
      </c>
      <c r="F9499" s="3" t="inlineStr">
        <is>
          <t>유구읍</t>
        </is>
      </c>
      <c r="G9499" s="3" t="inlineStr">
        <is>
          <t>추계리</t>
        </is>
      </c>
      <c r="H9499" s="3" t="inlineStr">
        <is>
          <t>농림지역</t>
        </is>
      </c>
      <c r="I9499" s="3" t="inlineStr">
        <is>
          <t>답</t>
        </is>
      </c>
      <c r="J9499" s="3" t="inlineStr">
        <is>
          <t>유구읍</t>
        </is>
      </c>
    </row>
    <row r="9500">
      <c r="A9500" s="3" t="n">
        <v>2025</v>
      </c>
      <c r="B9500" s="4" t="n">
        <v>2200</v>
      </c>
      <c r="C9500" s="4" t="n">
        <v>1010</v>
      </c>
      <c r="D9500" s="4" t="n">
        <v>305.525</v>
      </c>
      <c r="E9500" s="5" t="n">
        <v>7.2</v>
      </c>
      <c r="F9500" s="3" t="inlineStr">
        <is>
          <t>유구읍</t>
        </is>
      </c>
      <c r="G9500" s="3" t="inlineStr">
        <is>
          <t>유구리</t>
        </is>
      </c>
      <c r="H9500" s="3" t="inlineStr">
        <is>
          <t>계획관리지역</t>
        </is>
      </c>
      <c r="I9500" s="3" t="inlineStr">
        <is>
          <t>답</t>
        </is>
      </c>
      <c r="J9500" s="3" t="inlineStr">
        <is>
          <t>유구읍</t>
        </is>
      </c>
    </row>
    <row r="9501">
      <c r="A9501" s="3" t="n">
        <v>2025</v>
      </c>
      <c r="B9501" s="4" t="n">
        <v>2616</v>
      </c>
      <c r="C9501" s="4" t="n">
        <v>668</v>
      </c>
      <c r="D9501" s="4" t="n">
        <v>202.07</v>
      </c>
      <c r="E9501" s="5" t="n">
        <v>12.9</v>
      </c>
      <c r="F9501" s="3" t="inlineStr">
        <is>
          <t>유구읍</t>
        </is>
      </c>
      <c r="G9501" s="3" t="inlineStr">
        <is>
          <t>유구리</t>
        </is>
      </c>
      <c r="H9501" s="3" t="inlineStr">
        <is>
          <t>계획관리지역</t>
        </is>
      </c>
      <c r="I9501" s="3" t="inlineStr">
        <is>
          <t>답</t>
        </is>
      </c>
      <c r="J9501" s="3" t="inlineStr">
        <is>
          <t>유구읍</t>
        </is>
      </c>
    </row>
    <row r="9502">
      <c r="A9502" s="3" t="n">
        <v>2025</v>
      </c>
      <c r="B9502" s="4" t="n">
        <v>3785</v>
      </c>
      <c r="C9502" s="4" t="n">
        <v>757</v>
      </c>
      <c r="D9502" s="4" t="n">
        <v>228.9925</v>
      </c>
      <c r="E9502" s="5" t="n">
        <v>16.5</v>
      </c>
      <c r="F9502" s="3" t="inlineStr">
        <is>
          <t>유구읍</t>
        </is>
      </c>
      <c r="G9502" s="3" t="inlineStr">
        <is>
          <t>유구리</t>
        </is>
      </c>
      <c r="H9502" s="3" t="inlineStr">
        <is>
          <t>계획관리지역</t>
        </is>
      </c>
      <c r="I9502" s="3" t="inlineStr">
        <is>
          <t>답</t>
        </is>
      </c>
      <c r="J9502" s="3" t="inlineStr">
        <is>
          <t>유구읍</t>
        </is>
      </c>
    </row>
    <row r="9503">
      <c r="A9503" s="3" t="n">
        <v>2025</v>
      </c>
      <c r="B9503" s="4" t="n">
        <v>3646</v>
      </c>
      <c r="C9503" s="4" t="n">
        <v>744</v>
      </c>
      <c r="D9503" s="4" t="n">
        <v>225.06</v>
      </c>
      <c r="E9503" s="5" t="n">
        <v>16.2</v>
      </c>
      <c r="F9503" s="3" t="inlineStr">
        <is>
          <t>유구읍</t>
        </is>
      </c>
      <c r="G9503" s="3" t="inlineStr">
        <is>
          <t>유구리</t>
        </is>
      </c>
      <c r="H9503" s="3" t="inlineStr">
        <is>
          <t>계획관리지역</t>
        </is>
      </c>
      <c r="I9503" s="3" t="inlineStr">
        <is>
          <t>답</t>
        </is>
      </c>
      <c r="J9503" s="3" t="inlineStr">
        <is>
          <t>유구읍</t>
        </is>
      </c>
    </row>
    <row r="9504">
      <c r="A9504" s="3" t="n">
        <v>2025</v>
      </c>
      <c r="B9504" s="4" t="n">
        <v>2100</v>
      </c>
      <c r="C9504" s="4" t="n">
        <v>420</v>
      </c>
      <c r="D9504" s="4" t="n">
        <v>127.05</v>
      </c>
      <c r="E9504" s="5" t="n">
        <v>16.5</v>
      </c>
      <c r="F9504" s="3" t="inlineStr">
        <is>
          <t>유구읍</t>
        </is>
      </c>
      <c r="G9504" s="3" t="inlineStr">
        <is>
          <t>유구리</t>
        </is>
      </c>
      <c r="H9504" s="3" t="inlineStr">
        <is>
          <t>계획관리지역</t>
        </is>
      </c>
      <c r="I9504" s="3" t="inlineStr">
        <is>
          <t>답</t>
        </is>
      </c>
      <c r="J9504" s="3" t="inlineStr">
        <is>
          <t>유구읍</t>
        </is>
      </c>
    </row>
    <row r="9505">
      <c r="A9505" s="3" t="n">
        <v>2025</v>
      </c>
      <c r="B9505" s="4" t="n">
        <v>500</v>
      </c>
      <c r="C9505" s="4" t="n">
        <v>580</v>
      </c>
      <c r="D9505" s="4" t="n">
        <v>175.45</v>
      </c>
      <c r="E9505" s="5" t="n">
        <v>2.8</v>
      </c>
      <c r="F9505" s="3" t="inlineStr">
        <is>
          <t>유구읍</t>
        </is>
      </c>
      <c r="G9505" s="3" t="inlineStr">
        <is>
          <t>구계리</t>
        </is>
      </c>
      <c r="H9505" s="3" t="inlineStr">
        <is>
          <t>계획관리지역</t>
        </is>
      </c>
      <c r="I9505" s="3" t="inlineStr">
        <is>
          <t>임야</t>
        </is>
      </c>
      <c r="J9505" s="3" t="inlineStr">
        <is>
          <t>유구읍</t>
        </is>
      </c>
    </row>
    <row r="9506">
      <c r="A9506" s="3" t="n">
        <v>2025</v>
      </c>
      <c r="B9506" s="4" t="n">
        <v>6250</v>
      </c>
      <c r="C9506" s="4" t="n">
        <v>2231</v>
      </c>
      <c r="D9506" s="4" t="n">
        <v>674.8774999999999</v>
      </c>
      <c r="E9506" s="5" t="n">
        <v>9.300000000000001</v>
      </c>
      <c r="F9506" s="3" t="inlineStr">
        <is>
          <t>유구읍</t>
        </is>
      </c>
      <c r="G9506" s="3" t="inlineStr">
        <is>
          <t>유구리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유구읍</t>
        </is>
      </c>
    </row>
    <row r="9507">
      <c r="A9507" s="3" t="n">
        <v>2025</v>
      </c>
      <c r="B9507" s="4" t="n">
        <v>1300</v>
      </c>
      <c r="C9507" s="4" t="n">
        <v>992</v>
      </c>
      <c r="D9507" s="4" t="n">
        <v>300.08</v>
      </c>
      <c r="E9507" s="5" t="n">
        <v>4.3</v>
      </c>
      <c r="F9507" s="3" t="inlineStr">
        <is>
          <t>유구읍</t>
        </is>
      </c>
      <c r="G9507" s="3" t="inlineStr">
        <is>
          <t>녹천리</t>
        </is>
      </c>
      <c r="H9507" s="3" t="inlineStr">
        <is>
          <t>계획관리지역</t>
        </is>
      </c>
      <c r="I9507" s="3" t="inlineStr">
        <is>
          <t>임야</t>
        </is>
      </c>
      <c r="J9507" s="3" t="inlineStr">
        <is>
          <t>유구읍</t>
        </is>
      </c>
    </row>
    <row r="9508">
      <c r="A9508" s="3" t="n">
        <v>2024</v>
      </c>
      <c r="B9508" s="4" t="n">
        <v>30000</v>
      </c>
      <c r="C9508" s="4" t="n">
        <v>617</v>
      </c>
      <c r="D9508" s="4" t="n">
        <v>186.6425</v>
      </c>
      <c r="E9508" s="5" t="n">
        <v>160.7</v>
      </c>
      <c r="F9508" s="3" t="inlineStr">
        <is>
          <t>전의면</t>
        </is>
      </c>
      <c r="G9508" s="3" t="inlineStr">
        <is>
          <t>원성리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전의면</t>
        </is>
      </c>
    </row>
    <row r="9509">
      <c r="A9509" s="3" t="n">
        <v>2024</v>
      </c>
      <c r="B9509" s="4" t="n">
        <v>19500</v>
      </c>
      <c r="C9509" s="4" t="n">
        <v>579</v>
      </c>
      <c r="D9509" s="4" t="n">
        <v>175.1475</v>
      </c>
      <c r="E9509" s="5" t="n">
        <v>111.3</v>
      </c>
      <c r="F9509" s="3" t="inlineStr">
        <is>
          <t>금남면</t>
        </is>
      </c>
      <c r="G9509" s="3" t="inlineStr">
        <is>
          <t>성덕리</t>
        </is>
      </c>
      <c r="H9509" s="3" t="inlineStr">
        <is>
          <t>농림지역</t>
        </is>
      </c>
      <c r="I9509" s="3" t="inlineStr">
        <is>
          <t>전</t>
        </is>
      </c>
      <c r="J9509" s="3" t="inlineStr">
        <is>
          <t>금남면</t>
        </is>
      </c>
    </row>
    <row r="9510">
      <c r="A9510" s="3" t="n">
        <v>2024</v>
      </c>
      <c r="B9510" s="4" t="n">
        <v>51000</v>
      </c>
      <c r="C9510" s="4" t="n">
        <v>678</v>
      </c>
      <c r="D9510" s="4" t="n">
        <v>205.095</v>
      </c>
      <c r="E9510" s="5" t="n">
        <v>248.7</v>
      </c>
      <c r="F9510" s="3" t="inlineStr">
        <is>
          <t>장군면</t>
        </is>
      </c>
      <c r="G9510" s="3" t="inlineStr">
        <is>
          <t>산학리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장군면</t>
        </is>
      </c>
    </row>
    <row r="9511">
      <c r="A9511" s="3" t="n">
        <v>2024</v>
      </c>
      <c r="B9511" s="4" t="n">
        <v>55800</v>
      </c>
      <c r="C9511" s="4" t="n">
        <v>2528.5</v>
      </c>
      <c r="D9511" s="4" t="n">
        <v>764.87125</v>
      </c>
      <c r="E9511" s="5" t="n">
        <v>73</v>
      </c>
      <c r="F9511" s="3" t="inlineStr">
        <is>
          <t>연동면</t>
        </is>
      </c>
      <c r="G9511" s="3" t="inlineStr">
        <is>
          <t>명학리</t>
        </is>
      </c>
      <c r="H9511" s="3" t="inlineStr">
        <is>
          <t>자연녹지지역</t>
        </is>
      </c>
      <c r="I9511" s="3" t="inlineStr">
        <is>
          <t>답</t>
        </is>
      </c>
      <c r="J9511" s="3" t="inlineStr">
        <is>
          <t>연동면</t>
        </is>
      </c>
    </row>
    <row r="9512">
      <c r="A9512" s="3" t="n">
        <v>2024</v>
      </c>
      <c r="B9512" s="4" t="n">
        <v>9747</v>
      </c>
      <c r="C9512" s="4" t="n">
        <v>1652</v>
      </c>
      <c r="D9512" s="4" t="n">
        <v>499.73</v>
      </c>
      <c r="E9512" s="5" t="n">
        <v>19.5</v>
      </c>
      <c r="F9512" s="3" t="inlineStr">
        <is>
          <t>전의면</t>
        </is>
      </c>
      <c r="G9512" s="3" t="inlineStr">
        <is>
          <t>관정리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전의면</t>
        </is>
      </c>
    </row>
    <row r="9513">
      <c r="A9513" s="3" t="n">
        <v>2024</v>
      </c>
      <c r="B9513" s="4" t="n">
        <v>9753</v>
      </c>
      <c r="C9513" s="4" t="n">
        <v>1653</v>
      </c>
      <c r="D9513" s="4" t="n">
        <v>500.0325</v>
      </c>
      <c r="E9513" s="5" t="n">
        <v>19.5</v>
      </c>
      <c r="F9513" s="3" t="inlineStr">
        <is>
          <t>전의면</t>
        </is>
      </c>
      <c r="G9513" s="3" t="inlineStr">
        <is>
          <t>관정리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전의면</t>
        </is>
      </c>
    </row>
    <row r="9514">
      <c r="A9514" s="3" t="n">
        <v>2025</v>
      </c>
      <c r="B9514" s="4" t="n">
        <v>1918</v>
      </c>
      <c r="C9514" s="4" t="n">
        <v>645</v>
      </c>
      <c r="D9514" s="4" t="n">
        <v>195.1125</v>
      </c>
      <c r="E9514" s="5" t="n">
        <v>9.800000000000001</v>
      </c>
      <c r="F9514" s="3" t="inlineStr">
        <is>
          <t>유구읍</t>
        </is>
      </c>
      <c r="G9514" s="3" t="inlineStr">
        <is>
          <t>신영리</t>
        </is>
      </c>
      <c r="H9514" s="3" t="inlineStr">
        <is>
          <t>농림지역</t>
        </is>
      </c>
      <c r="I9514" s="3" t="inlineStr">
        <is>
          <t>전</t>
        </is>
      </c>
      <c r="J9514" s="3" t="inlineStr">
        <is>
          <t>유구읍</t>
        </is>
      </c>
    </row>
    <row r="9515">
      <c r="A9515" s="3" t="n">
        <v>2025</v>
      </c>
      <c r="B9515" s="4" t="n">
        <v>2282</v>
      </c>
      <c r="C9515" s="4" t="n">
        <v>767</v>
      </c>
      <c r="D9515" s="4" t="n">
        <v>232.0175</v>
      </c>
      <c r="E9515" s="5" t="n">
        <v>9.800000000000001</v>
      </c>
      <c r="F9515" s="3" t="inlineStr">
        <is>
          <t>유구읍</t>
        </is>
      </c>
      <c r="G9515" s="3" t="inlineStr">
        <is>
          <t>신영리</t>
        </is>
      </c>
      <c r="H9515" s="3" t="inlineStr">
        <is>
          <t>농림지역</t>
        </is>
      </c>
      <c r="I9515" s="3" t="inlineStr">
        <is>
          <t>전</t>
        </is>
      </c>
      <c r="J9515" s="3" t="inlineStr">
        <is>
          <t>유구읍</t>
        </is>
      </c>
    </row>
    <row r="9516">
      <c r="A9516" s="3" t="n">
        <v>2025</v>
      </c>
      <c r="B9516" s="4" t="n">
        <v>8740</v>
      </c>
      <c r="C9516" s="4" t="n">
        <v>130</v>
      </c>
      <c r="D9516" s="4" t="n">
        <v>39.325</v>
      </c>
      <c r="E9516" s="5" t="n">
        <v>222.3</v>
      </c>
      <c r="F9516" s="3" t="inlineStr">
        <is>
          <t>유구읍</t>
        </is>
      </c>
      <c r="G9516" s="3" t="inlineStr">
        <is>
          <t>백교리</t>
        </is>
      </c>
      <c r="H9516" s="3" t="inlineStr">
        <is>
          <t>일반상업지역</t>
        </is>
      </c>
      <c r="I9516" s="3" t="inlineStr">
        <is>
          <t>대</t>
        </is>
      </c>
      <c r="J9516" s="3" t="inlineStr">
        <is>
          <t>유구읍</t>
        </is>
      </c>
    </row>
    <row r="9517">
      <c r="A9517" s="3" t="n">
        <v>2026</v>
      </c>
      <c r="B9517" s="4" t="n">
        <v>4650</v>
      </c>
      <c r="C9517" s="4" t="n">
        <v>512</v>
      </c>
      <c r="D9517" s="4" t="n">
        <v>154.88</v>
      </c>
      <c r="E9517" s="5" t="n">
        <v>30</v>
      </c>
      <c r="F9517" s="3" t="inlineStr">
        <is>
          <t>유구읍</t>
        </is>
      </c>
      <c r="G9517" s="3" t="inlineStr">
        <is>
          <t>유구리</t>
        </is>
      </c>
      <c r="H9517" s="3" t="inlineStr">
        <is>
          <t>자연녹지지역</t>
        </is>
      </c>
      <c r="I9517" s="3" t="inlineStr">
        <is>
          <t>과수원</t>
        </is>
      </c>
      <c r="J9517" s="3" t="inlineStr">
        <is>
          <t>유구읍</t>
        </is>
      </c>
    </row>
    <row r="9518">
      <c r="A9518" s="3" t="n">
        <v>2026</v>
      </c>
      <c r="B9518" s="4" t="n">
        <v>1000</v>
      </c>
      <c r="C9518" s="4" t="n">
        <v>357</v>
      </c>
      <c r="D9518" s="4" t="n">
        <v>107.9925</v>
      </c>
      <c r="E9518" s="5" t="n">
        <v>9.300000000000001</v>
      </c>
      <c r="F9518" s="3" t="inlineStr">
        <is>
          <t>유구읍</t>
        </is>
      </c>
      <c r="G9518" s="3" t="inlineStr">
        <is>
          <t>덕곡리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유구읍</t>
        </is>
      </c>
    </row>
    <row r="9519">
      <c r="A9519" s="3" t="n">
        <v>2026</v>
      </c>
      <c r="B9519" s="4" t="n">
        <v>4015</v>
      </c>
      <c r="C9519" s="4" t="n">
        <v>1207</v>
      </c>
      <c r="D9519" s="4" t="n">
        <v>365.1175</v>
      </c>
      <c r="E9519" s="5" t="n">
        <v>11</v>
      </c>
      <c r="F9519" s="3" t="inlineStr">
        <is>
          <t>유구읍</t>
        </is>
      </c>
      <c r="G9519" s="3" t="inlineStr">
        <is>
          <t>신달리</t>
        </is>
      </c>
      <c r="H9519" s="3" t="inlineStr">
        <is>
          <t>농림지역</t>
        </is>
      </c>
      <c r="I9519" s="3" t="inlineStr">
        <is>
          <t>답</t>
        </is>
      </c>
      <c r="J9519" s="3" t="inlineStr">
        <is>
          <t>유구읍</t>
        </is>
      </c>
    </row>
    <row r="9520">
      <c r="A9520" s="3" t="n">
        <v>2026</v>
      </c>
      <c r="B9520" s="4" t="n">
        <v>1954</v>
      </c>
      <c r="C9520" s="4" t="n">
        <v>489</v>
      </c>
      <c r="D9520" s="4" t="n">
        <v>147.9225</v>
      </c>
      <c r="E9520" s="5" t="n">
        <v>13.2</v>
      </c>
      <c r="F9520" s="3" t="inlineStr">
        <is>
          <t>유구읍</t>
        </is>
      </c>
      <c r="G9520" s="3" t="inlineStr">
        <is>
          <t>백교리</t>
        </is>
      </c>
      <c r="H9520" s="3" t="inlineStr">
        <is>
          <t>농림지역</t>
        </is>
      </c>
      <c r="I9520" s="3" t="inlineStr">
        <is>
          <t>전</t>
        </is>
      </c>
      <c r="J9520" s="3" t="inlineStr">
        <is>
          <t>유구읍</t>
        </is>
      </c>
    </row>
    <row r="9521">
      <c r="A9521" s="3" t="n">
        <v>2026</v>
      </c>
      <c r="B9521" s="4" t="n">
        <v>3367</v>
      </c>
      <c r="C9521" s="4" t="n">
        <v>939</v>
      </c>
      <c r="D9521" s="4" t="n">
        <v>284.0475</v>
      </c>
      <c r="E9521" s="5" t="n">
        <v>11.9</v>
      </c>
      <c r="F9521" s="3" t="inlineStr">
        <is>
          <t>유구읍</t>
        </is>
      </c>
      <c r="G9521" s="3" t="inlineStr">
        <is>
          <t>백교리</t>
        </is>
      </c>
      <c r="H9521" s="3" t="inlineStr">
        <is>
          <t>농림지역</t>
        </is>
      </c>
      <c r="I9521" s="3" t="inlineStr">
        <is>
          <t>전</t>
        </is>
      </c>
      <c r="J9521" s="3" t="inlineStr">
        <is>
          <t>유구읍</t>
        </is>
      </c>
    </row>
    <row r="9522">
      <c r="A9522" s="3" t="n">
        <v>2026</v>
      </c>
      <c r="B9522" s="4" t="n">
        <v>8679</v>
      </c>
      <c r="C9522" s="4" t="n">
        <v>2476</v>
      </c>
      <c r="D9522" s="4" t="n">
        <v>748.99</v>
      </c>
      <c r="E9522" s="5" t="n">
        <v>11.6</v>
      </c>
      <c r="F9522" s="3" t="inlineStr">
        <is>
          <t>유구읍</t>
        </is>
      </c>
      <c r="G9522" s="3" t="inlineStr">
        <is>
          <t>백교리</t>
        </is>
      </c>
      <c r="H9522" s="3" t="inlineStr">
        <is>
          <t>농림지역</t>
        </is>
      </c>
      <c r="I9522" s="3" t="inlineStr">
        <is>
          <t>전</t>
        </is>
      </c>
      <c r="J9522" s="3" t="inlineStr">
        <is>
          <t>유구읍</t>
        </is>
      </c>
    </row>
    <row r="9523">
      <c r="A9523" s="3" t="n">
        <v>2026</v>
      </c>
      <c r="B9523" s="4" t="n">
        <v>1300</v>
      </c>
      <c r="C9523" s="4" t="n">
        <v>251</v>
      </c>
      <c r="D9523" s="4" t="n">
        <v>75.92749999999999</v>
      </c>
      <c r="E9523" s="5" t="n">
        <v>17.1</v>
      </c>
      <c r="F9523" s="3" t="inlineStr">
        <is>
          <t>유구읍</t>
        </is>
      </c>
      <c r="G9523" s="3" t="inlineStr">
        <is>
          <t>백교리</t>
        </is>
      </c>
      <c r="H9523" s="3" t="inlineStr">
        <is>
          <t>자연녹지지역</t>
        </is>
      </c>
      <c r="I9523" s="3" t="inlineStr">
        <is>
          <t>답</t>
        </is>
      </c>
      <c r="J9523" s="3" t="inlineStr">
        <is>
          <t>유구읍</t>
        </is>
      </c>
    </row>
    <row r="9524">
      <c r="A9524" s="3" t="n">
        <v>2026</v>
      </c>
      <c r="B9524" s="4" t="n">
        <v>1874</v>
      </c>
      <c r="C9524" s="4" t="n">
        <v>893</v>
      </c>
      <c r="D9524" s="4" t="n">
        <v>270.1325</v>
      </c>
      <c r="E9524" s="5" t="n">
        <v>6.9</v>
      </c>
      <c r="F9524" s="3" t="inlineStr">
        <is>
          <t>유구읍</t>
        </is>
      </c>
      <c r="G9524" s="3" t="inlineStr">
        <is>
          <t>신달리</t>
        </is>
      </c>
      <c r="H9524" s="3" t="inlineStr">
        <is>
          <t>보전관리지역</t>
        </is>
      </c>
      <c r="I9524" s="3" t="inlineStr">
        <is>
          <t>전</t>
        </is>
      </c>
      <c r="J9524" s="3" t="inlineStr">
        <is>
          <t>유구읍</t>
        </is>
      </c>
    </row>
    <row r="9525">
      <c r="A9525" s="3" t="n">
        <v>2026</v>
      </c>
      <c r="B9525" s="4" t="n">
        <v>300</v>
      </c>
      <c r="C9525" s="4" t="n">
        <v>43</v>
      </c>
      <c r="D9525" s="4" t="n">
        <v>13.0075</v>
      </c>
      <c r="E9525" s="5" t="n">
        <v>23.1</v>
      </c>
      <c r="F9525" s="3" t="inlineStr">
        <is>
          <t>유구읍</t>
        </is>
      </c>
      <c r="G9525" s="3" t="inlineStr">
        <is>
          <t>유구리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유구읍</t>
        </is>
      </c>
    </row>
    <row r="9526">
      <c r="A9526" s="3" t="n">
        <v>2026</v>
      </c>
      <c r="B9526" s="4" t="n">
        <v>2000</v>
      </c>
      <c r="C9526" s="4" t="n">
        <v>952</v>
      </c>
      <c r="D9526" s="4" t="n">
        <v>287.98</v>
      </c>
      <c r="E9526" s="5" t="n">
        <v>6.9</v>
      </c>
      <c r="F9526" s="3" t="inlineStr">
        <is>
          <t>유구읍</t>
        </is>
      </c>
      <c r="G9526" s="3" t="inlineStr">
        <is>
          <t>명곡리</t>
        </is>
      </c>
      <c r="H9526" s="3" t="inlineStr">
        <is>
          <t>계획관리지역</t>
        </is>
      </c>
      <c r="I9526" s="3" t="inlineStr">
        <is>
          <t>전</t>
        </is>
      </c>
      <c r="J9526" s="3" t="inlineStr">
        <is>
          <t>유구읍</t>
        </is>
      </c>
    </row>
    <row r="9527">
      <c r="A9527" s="3" t="n">
        <v>2026</v>
      </c>
      <c r="B9527" s="4" t="n">
        <v>10000</v>
      </c>
      <c r="C9527" s="4" t="n">
        <v>6982</v>
      </c>
      <c r="D9527" s="4" t="n">
        <v>2112.055</v>
      </c>
      <c r="E9527" s="5" t="n">
        <v>4.7</v>
      </c>
      <c r="F9527" s="3" t="inlineStr">
        <is>
          <t>유구읍</t>
        </is>
      </c>
      <c r="G9527" s="3" t="inlineStr">
        <is>
          <t>구계리</t>
        </is>
      </c>
      <c r="H9527" s="3" t="inlineStr">
        <is>
          <t>계획관리지역</t>
        </is>
      </c>
      <c r="I9527" s="3" t="inlineStr">
        <is>
          <t>임야</t>
        </is>
      </c>
      <c r="J9527" s="3" t="inlineStr">
        <is>
          <t>유구읍</t>
        </is>
      </c>
    </row>
    <row r="9528">
      <c r="A9528" s="3" t="n">
        <v>2026</v>
      </c>
      <c r="B9528" s="4" t="n">
        <v>7300</v>
      </c>
      <c r="C9528" s="4" t="n">
        <v>1646</v>
      </c>
      <c r="D9528" s="4" t="n">
        <v>497.915</v>
      </c>
      <c r="E9528" s="5" t="n">
        <v>14.7</v>
      </c>
      <c r="F9528" s="3" t="inlineStr">
        <is>
          <t>유구읍</t>
        </is>
      </c>
      <c r="G9528" s="3" t="inlineStr">
        <is>
          <t>동해리</t>
        </is>
      </c>
      <c r="H9528" s="3" t="inlineStr">
        <is>
          <t>계획관리지역</t>
        </is>
      </c>
      <c r="I9528" s="3" t="inlineStr">
        <is>
          <t>전</t>
        </is>
      </c>
      <c r="J9528" s="3" t="inlineStr">
        <is>
          <t>유구읍</t>
        </is>
      </c>
    </row>
    <row r="9529">
      <c r="A9529" s="3" t="n">
        <v>2026</v>
      </c>
      <c r="B9529" s="4" t="n">
        <v>1600</v>
      </c>
      <c r="C9529" s="4" t="n">
        <v>647</v>
      </c>
      <c r="D9529" s="4" t="n">
        <v>195.7175</v>
      </c>
      <c r="E9529" s="5" t="n">
        <v>8.199999999999999</v>
      </c>
      <c r="F9529" s="3" t="inlineStr">
        <is>
          <t>유구읍</t>
        </is>
      </c>
      <c r="G9529" s="3" t="inlineStr">
        <is>
          <t>명곡리</t>
        </is>
      </c>
      <c r="H9529" s="3" t="inlineStr">
        <is>
          <t>계획관리지역</t>
        </is>
      </c>
      <c r="I9529" s="3" t="inlineStr">
        <is>
          <t>전</t>
        </is>
      </c>
      <c r="J9529" s="3" t="inlineStr">
        <is>
          <t>유구읍</t>
        </is>
      </c>
    </row>
    <row r="9530">
      <c r="A9530" s="3" t="n">
        <v>2022</v>
      </c>
      <c r="B9530" s="4" t="n">
        <v>579</v>
      </c>
      <c r="C9530" s="4" t="n">
        <v>66</v>
      </c>
      <c r="D9530" s="4" t="n">
        <v>19.965</v>
      </c>
      <c r="E9530" s="5" t="n">
        <v>29</v>
      </c>
      <c r="F9530" s="3" t="inlineStr">
        <is>
          <t>유구읍</t>
        </is>
      </c>
      <c r="G9530" s="3" t="inlineStr">
        <is>
          <t>탑곡리</t>
        </is>
      </c>
      <c r="H9530" s="3" t="inlineStr">
        <is>
          <t>계획관리지역</t>
        </is>
      </c>
      <c r="I9530" s="3" t="inlineStr">
        <is>
          <t>전</t>
        </is>
      </c>
      <c r="J9530" s="3" t="inlineStr">
        <is>
          <t>유구읍</t>
        </is>
      </c>
    </row>
    <row r="9531">
      <c r="A9531" s="3" t="n">
        <v>2022</v>
      </c>
      <c r="B9531" s="4" t="n">
        <v>19852</v>
      </c>
      <c r="C9531" s="4" t="n">
        <v>2261</v>
      </c>
      <c r="D9531" s="4" t="n">
        <v>683.9525</v>
      </c>
      <c r="E9531" s="5" t="n">
        <v>29</v>
      </c>
      <c r="F9531" s="3" t="inlineStr">
        <is>
          <t>유구읍</t>
        </is>
      </c>
      <c r="G9531" s="3" t="inlineStr">
        <is>
          <t>탑곡리</t>
        </is>
      </c>
      <c r="H9531" s="3" t="inlineStr">
        <is>
          <t>계획관리지역</t>
        </is>
      </c>
      <c r="I9531" s="3" t="inlineStr">
        <is>
          <t>전</t>
        </is>
      </c>
      <c r="J9531" s="3" t="inlineStr">
        <is>
          <t>유구읍</t>
        </is>
      </c>
    </row>
    <row r="9532">
      <c r="A9532" s="3" t="n">
        <v>2022</v>
      </c>
      <c r="B9532" s="4" t="n">
        <v>3134</v>
      </c>
      <c r="C9532" s="4" t="n">
        <v>357</v>
      </c>
      <c r="D9532" s="4" t="n">
        <v>107.9925</v>
      </c>
      <c r="E9532" s="5" t="n">
        <v>29</v>
      </c>
      <c r="F9532" s="3" t="inlineStr">
        <is>
          <t>유구읍</t>
        </is>
      </c>
      <c r="G9532" s="3" t="inlineStr">
        <is>
          <t>탑곡리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유구읍</t>
        </is>
      </c>
    </row>
    <row r="9533">
      <c r="A9533" s="3" t="n">
        <v>2022</v>
      </c>
      <c r="B9533" s="4" t="n">
        <v>15187</v>
      </c>
      <c r="C9533" s="4" t="n">
        <v>1731</v>
      </c>
      <c r="D9533" s="4" t="n">
        <v>523.6274999999999</v>
      </c>
      <c r="E9533" s="5" t="n">
        <v>29</v>
      </c>
      <c r="F9533" s="3" t="inlineStr">
        <is>
          <t>유구읍</t>
        </is>
      </c>
      <c r="G9533" s="3" t="inlineStr">
        <is>
          <t>탑곡리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유구읍</t>
        </is>
      </c>
    </row>
    <row r="9534">
      <c r="A9534" s="3" t="n">
        <v>2022</v>
      </c>
      <c r="B9534" s="4" t="n">
        <v>7247</v>
      </c>
      <c r="C9534" s="4" t="n">
        <v>826</v>
      </c>
      <c r="D9534" s="4" t="n">
        <v>249.865</v>
      </c>
      <c r="E9534" s="5" t="n">
        <v>29</v>
      </c>
      <c r="F9534" s="3" t="inlineStr">
        <is>
          <t>유구읍</t>
        </is>
      </c>
      <c r="G9534" s="3" t="inlineStr">
        <is>
          <t>탑곡리</t>
        </is>
      </c>
      <c r="H9534" s="3" t="inlineStr">
        <is>
          <t>계획관리지역</t>
        </is>
      </c>
      <c r="I9534" s="3" t="inlineStr">
        <is>
          <t>답</t>
        </is>
      </c>
      <c r="J9534" s="3" t="inlineStr">
        <is>
          <t>유구읍</t>
        </is>
      </c>
    </row>
    <row r="9535">
      <c r="A9535" s="3" t="n">
        <v>2022</v>
      </c>
      <c r="B9535" s="4" t="n">
        <v>2470</v>
      </c>
      <c r="C9535" s="4" t="n">
        <v>817</v>
      </c>
      <c r="D9535" s="4" t="n">
        <v>247.1425</v>
      </c>
      <c r="E9535" s="5" t="n">
        <v>10</v>
      </c>
      <c r="F9535" s="3" t="inlineStr">
        <is>
          <t>유구읍</t>
        </is>
      </c>
      <c r="G9535" s="3" t="inlineStr">
        <is>
          <t>추계리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유구읍</t>
        </is>
      </c>
    </row>
    <row r="9536">
      <c r="A9536" s="3" t="n">
        <v>2022</v>
      </c>
      <c r="B9536" s="4" t="n">
        <v>1800</v>
      </c>
      <c r="C9536" s="4" t="n">
        <v>598</v>
      </c>
      <c r="D9536" s="4" t="n">
        <v>180.895</v>
      </c>
      <c r="E9536" s="5" t="n">
        <v>10</v>
      </c>
      <c r="F9536" s="3" t="inlineStr">
        <is>
          <t>유구읍</t>
        </is>
      </c>
      <c r="G9536" s="3" t="inlineStr">
        <is>
          <t>추계리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유구읍</t>
        </is>
      </c>
    </row>
    <row r="9537">
      <c r="A9537" s="3" t="n">
        <v>2022</v>
      </c>
      <c r="B9537" s="4" t="n">
        <v>1070</v>
      </c>
      <c r="C9537" s="4" t="n">
        <v>354</v>
      </c>
      <c r="D9537" s="4" t="n">
        <v>107.085</v>
      </c>
      <c r="E9537" s="5" t="n">
        <v>10</v>
      </c>
      <c r="F9537" s="3" t="inlineStr">
        <is>
          <t>유구읍</t>
        </is>
      </c>
      <c r="G9537" s="3" t="inlineStr">
        <is>
          <t>추계리</t>
        </is>
      </c>
      <c r="H9537" s="3" t="inlineStr">
        <is>
          <t>보전관리지역</t>
        </is>
      </c>
      <c r="I9537" s="3" t="inlineStr">
        <is>
          <t>답</t>
        </is>
      </c>
      <c r="J9537" s="3" t="inlineStr">
        <is>
          <t>유구읍</t>
        </is>
      </c>
    </row>
    <row r="9538">
      <c r="A9538" s="3" t="n">
        <v>2022</v>
      </c>
      <c r="B9538" s="4" t="n">
        <v>12300</v>
      </c>
      <c r="C9538" s="4" t="n">
        <v>2407</v>
      </c>
      <c r="D9538" s="4" t="n">
        <v>728.1174999999999</v>
      </c>
      <c r="E9538" s="5" t="n">
        <v>16.9</v>
      </c>
      <c r="F9538" s="3" t="inlineStr">
        <is>
          <t>유구읍</t>
        </is>
      </c>
      <c r="G9538" s="3" t="inlineStr">
        <is>
          <t>추계리</t>
        </is>
      </c>
      <c r="H9538" s="3" t="inlineStr">
        <is>
          <t>보전관리지역</t>
        </is>
      </c>
      <c r="I9538" s="3" t="inlineStr">
        <is>
          <t>답</t>
        </is>
      </c>
      <c r="J9538" s="3" t="inlineStr">
        <is>
          <t>유구읍</t>
        </is>
      </c>
    </row>
    <row r="9539">
      <c r="A9539" s="3" t="n">
        <v>2022</v>
      </c>
      <c r="B9539" s="4" t="n">
        <v>7860</v>
      </c>
      <c r="C9539" s="4" t="n">
        <v>1445</v>
      </c>
      <c r="D9539" s="4" t="n">
        <v>437.1125</v>
      </c>
      <c r="E9539" s="5" t="n">
        <v>18</v>
      </c>
      <c r="F9539" s="3" t="inlineStr">
        <is>
          <t>유구읍</t>
        </is>
      </c>
      <c r="G9539" s="3" t="inlineStr">
        <is>
          <t>추계리</t>
        </is>
      </c>
      <c r="H9539" s="3" t="inlineStr">
        <is>
          <t>보전관리지역</t>
        </is>
      </c>
      <c r="I9539" s="3" t="inlineStr">
        <is>
          <t>답</t>
        </is>
      </c>
      <c r="J9539" s="3" t="inlineStr">
        <is>
          <t>유구읍</t>
        </is>
      </c>
    </row>
    <row r="9540">
      <c r="A9540" s="3" t="n">
        <v>2022</v>
      </c>
      <c r="B9540" s="4" t="n">
        <v>310</v>
      </c>
      <c r="C9540" s="4" t="n">
        <v>96</v>
      </c>
      <c r="D9540" s="4" t="n">
        <v>29.04</v>
      </c>
      <c r="E9540" s="5" t="n">
        <v>10.7</v>
      </c>
      <c r="F9540" s="3" t="inlineStr">
        <is>
          <t>유구읍</t>
        </is>
      </c>
      <c r="G9540" s="3" t="inlineStr">
        <is>
          <t>추계리</t>
        </is>
      </c>
      <c r="H9540" s="3" t="inlineStr">
        <is>
          <t>농림지역</t>
        </is>
      </c>
      <c r="I9540" s="3" t="inlineStr">
        <is>
          <t>답</t>
        </is>
      </c>
      <c r="J9540" s="3" t="inlineStr">
        <is>
          <t>유구읍</t>
        </is>
      </c>
    </row>
    <row r="9541">
      <c r="A9541" s="3" t="n">
        <v>2022</v>
      </c>
      <c r="B9541" s="4" t="n">
        <v>2500</v>
      </c>
      <c r="C9541" s="4" t="n">
        <v>493</v>
      </c>
      <c r="D9541" s="4" t="n">
        <v>149.1325</v>
      </c>
      <c r="E9541" s="5" t="n">
        <v>16.8</v>
      </c>
      <c r="F9541" s="3" t="inlineStr">
        <is>
          <t>유구읍</t>
        </is>
      </c>
      <c r="G9541" s="3" t="inlineStr">
        <is>
          <t>추계리</t>
        </is>
      </c>
      <c r="H9541" s="3" t="inlineStr">
        <is>
          <t>보전관리지역</t>
        </is>
      </c>
      <c r="I9541" s="3" t="inlineStr">
        <is>
          <t>답</t>
        </is>
      </c>
      <c r="J9541" s="3" t="inlineStr">
        <is>
          <t>유구읍</t>
        </is>
      </c>
    </row>
    <row r="9542">
      <c r="A9542" s="3" t="n">
        <v>2022</v>
      </c>
      <c r="B9542" s="4" t="n">
        <v>198</v>
      </c>
      <c r="C9542" s="4" t="n">
        <v>30</v>
      </c>
      <c r="D9542" s="4" t="n">
        <v>9.074999999999999</v>
      </c>
      <c r="E9542" s="5" t="n">
        <v>21.8</v>
      </c>
      <c r="F9542" s="3" t="inlineStr">
        <is>
          <t>유구읍</t>
        </is>
      </c>
      <c r="G9542" s="3" t="inlineStr">
        <is>
          <t>구계리</t>
        </is>
      </c>
      <c r="H9542" s="3" t="inlineStr">
        <is>
          <t>보전관리지역</t>
        </is>
      </c>
      <c r="I9542" s="3" t="inlineStr">
        <is>
          <t>전</t>
        </is>
      </c>
      <c r="J9542" s="3" t="inlineStr">
        <is>
          <t>유구읍</t>
        </is>
      </c>
    </row>
    <row r="9543">
      <c r="A9543" s="3" t="n">
        <v>2022</v>
      </c>
      <c r="B9543" s="4" t="n">
        <v>154</v>
      </c>
      <c r="C9543" s="4" t="n">
        <v>23</v>
      </c>
      <c r="D9543" s="4" t="n">
        <v>6.9575</v>
      </c>
      <c r="E9543" s="5" t="n">
        <v>22.1</v>
      </c>
      <c r="F9543" s="3" t="inlineStr">
        <is>
          <t>유구읍</t>
        </is>
      </c>
      <c r="G9543" s="3" t="inlineStr">
        <is>
          <t>구계리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유구읍</t>
        </is>
      </c>
    </row>
    <row r="9544">
      <c r="A9544" s="3" t="n">
        <v>2022</v>
      </c>
      <c r="B9544" s="4" t="n">
        <v>17730</v>
      </c>
      <c r="C9544" s="4" t="n">
        <v>1302</v>
      </c>
      <c r="D9544" s="4" t="n">
        <v>393.855</v>
      </c>
      <c r="E9544" s="5" t="n">
        <v>45</v>
      </c>
      <c r="F9544" s="3" t="inlineStr">
        <is>
          <t>유구읍</t>
        </is>
      </c>
      <c r="G9544" s="3" t="inlineStr">
        <is>
          <t>석남리</t>
        </is>
      </c>
      <c r="H9544" s="3" t="inlineStr">
        <is>
          <t>제2종일반주거지역</t>
        </is>
      </c>
      <c r="I9544" s="3" t="inlineStr">
        <is>
          <t>답</t>
        </is>
      </c>
      <c r="J9544" s="3" t="inlineStr">
        <is>
          <t>유구읍</t>
        </is>
      </c>
    </row>
    <row r="9545">
      <c r="A9545" s="3" t="n">
        <v>2022</v>
      </c>
      <c r="B9545" s="4" t="n">
        <v>9765</v>
      </c>
      <c r="C9545" s="4" t="n">
        <v>717</v>
      </c>
      <c r="D9545" s="4" t="n">
        <v>216.8925</v>
      </c>
      <c r="E9545" s="5" t="n">
        <v>45</v>
      </c>
      <c r="F9545" s="3" t="inlineStr">
        <is>
          <t>유구읍</t>
        </is>
      </c>
      <c r="G9545" s="3" t="inlineStr">
        <is>
          <t>석남리</t>
        </is>
      </c>
      <c r="H9545" s="3" t="inlineStr">
        <is>
          <t>제2종일반주거지역</t>
        </is>
      </c>
      <c r="I9545" s="3" t="inlineStr">
        <is>
          <t>답</t>
        </is>
      </c>
      <c r="J9545" s="3" t="inlineStr">
        <is>
          <t>유구읍</t>
        </is>
      </c>
    </row>
    <row r="9546">
      <c r="A9546" s="3" t="n">
        <v>2022</v>
      </c>
      <c r="B9546" s="4" t="n">
        <v>13500</v>
      </c>
      <c r="C9546" s="4" t="n">
        <v>990</v>
      </c>
      <c r="D9546" s="4" t="n">
        <v>299.475</v>
      </c>
      <c r="E9546" s="5" t="n">
        <v>45.1</v>
      </c>
      <c r="F9546" s="3" t="inlineStr">
        <is>
          <t>유구읍</t>
        </is>
      </c>
      <c r="G9546" s="3" t="inlineStr">
        <is>
          <t>석남리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유구읍</t>
        </is>
      </c>
    </row>
    <row r="9547">
      <c r="A9547" s="3" t="n">
        <v>2022</v>
      </c>
      <c r="B9547" s="4" t="n">
        <v>1300</v>
      </c>
      <c r="C9547" s="4" t="n">
        <v>610</v>
      </c>
      <c r="D9547" s="4" t="n">
        <v>184.525</v>
      </c>
      <c r="E9547" s="5" t="n">
        <v>7</v>
      </c>
      <c r="F9547" s="3" t="inlineStr">
        <is>
          <t>유구읍</t>
        </is>
      </c>
      <c r="G9547" s="3" t="inlineStr">
        <is>
          <t>세동리</t>
        </is>
      </c>
      <c r="H9547" s="3" t="inlineStr">
        <is>
          <t>계획관리지역</t>
        </is>
      </c>
      <c r="I9547" s="3" t="inlineStr">
        <is>
          <t>전</t>
        </is>
      </c>
      <c r="J9547" s="3" t="inlineStr">
        <is>
          <t>유구읍</t>
        </is>
      </c>
    </row>
    <row r="9548">
      <c r="A9548" s="3" t="n">
        <v>2025</v>
      </c>
      <c r="B9548" s="4" t="n">
        <v>5184</v>
      </c>
      <c r="C9548" s="4" t="n">
        <v>960</v>
      </c>
      <c r="D9548" s="4" t="n">
        <v>290.4</v>
      </c>
      <c r="E9548" s="5" t="n">
        <v>17.9</v>
      </c>
      <c r="F9548" s="3" t="inlineStr">
        <is>
          <t>유구읍</t>
        </is>
      </c>
      <c r="G9548" s="3" t="inlineStr">
        <is>
          <t>유구리</t>
        </is>
      </c>
      <c r="H9548" s="3" t="inlineStr">
        <is>
          <t>계획관리지역</t>
        </is>
      </c>
      <c r="I9548" s="3" t="inlineStr">
        <is>
          <t>답</t>
        </is>
      </c>
      <c r="J9548" s="3" t="inlineStr">
        <is>
          <t>유구읍</t>
        </is>
      </c>
    </row>
    <row r="9549">
      <c r="A9549" s="3" t="n">
        <v>2022</v>
      </c>
      <c r="B9549" s="4" t="n">
        <v>990</v>
      </c>
      <c r="C9549" s="4" t="n">
        <v>109</v>
      </c>
      <c r="D9549" s="4" t="n">
        <v>32.9725</v>
      </c>
      <c r="E9549" s="5" t="n">
        <v>30</v>
      </c>
      <c r="F9549" s="3" t="inlineStr">
        <is>
          <t>유구읍</t>
        </is>
      </c>
      <c r="G9549" s="3" t="inlineStr">
        <is>
          <t>문금리</t>
        </is>
      </c>
      <c r="H9549" s="3" t="inlineStr">
        <is>
          <t>계획관리지역</t>
        </is>
      </c>
      <c r="I9549" s="3" t="inlineStr">
        <is>
          <t>대</t>
        </is>
      </c>
      <c r="J9549" s="3" t="inlineStr">
        <is>
          <t>유구읍</t>
        </is>
      </c>
    </row>
    <row r="9550">
      <c r="A9550" s="3" t="n">
        <v>2022</v>
      </c>
      <c r="B9550" s="4" t="n">
        <v>100</v>
      </c>
      <c r="C9550" s="4" t="n">
        <v>41</v>
      </c>
      <c r="D9550" s="4" t="n">
        <v>12.4025</v>
      </c>
      <c r="E9550" s="5" t="n">
        <v>8.1</v>
      </c>
      <c r="F9550" s="3" t="inlineStr">
        <is>
          <t>유구읍</t>
        </is>
      </c>
      <c r="G9550" s="3" t="inlineStr">
        <is>
          <t>추계리</t>
        </is>
      </c>
      <c r="H9550" s="3" t="inlineStr">
        <is>
          <t>농림지역</t>
        </is>
      </c>
      <c r="I9550" s="3" t="inlineStr">
        <is>
          <t>답</t>
        </is>
      </c>
      <c r="J9550" s="3" t="inlineStr">
        <is>
          <t>유구읍</t>
        </is>
      </c>
    </row>
    <row r="9551">
      <c r="A9551" s="3" t="n">
        <v>2022</v>
      </c>
      <c r="B9551" s="4" t="n">
        <v>5200</v>
      </c>
      <c r="C9551" s="4" t="n">
        <v>276</v>
      </c>
      <c r="D9551" s="4" t="n">
        <v>83.48999999999999</v>
      </c>
      <c r="E9551" s="5" t="n">
        <v>62.3</v>
      </c>
      <c r="F9551" s="3" t="inlineStr">
        <is>
          <t>유구읍</t>
        </is>
      </c>
      <c r="G9551" s="3" t="inlineStr">
        <is>
          <t>유구리</t>
        </is>
      </c>
      <c r="H9551" s="3" t="inlineStr">
        <is>
          <t>계획관리지역</t>
        </is>
      </c>
      <c r="I9551" s="3" t="inlineStr">
        <is>
          <t>답</t>
        </is>
      </c>
      <c r="J9551" s="3" t="inlineStr">
        <is>
          <t>유구읍</t>
        </is>
      </c>
    </row>
    <row r="9552">
      <c r="A9552" s="3" t="n">
        <v>2022</v>
      </c>
      <c r="B9552" s="4" t="n">
        <v>1290</v>
      </c>
      <c r="C9552" s="4" t="n">
        <v>251</v>
      </c>
      <c r="D9552" s="4" t="n">
        <v>75.92749999999999</v>
      </c>
      <c r="E9552" s="5" t="n">
        <v>17</v>
      </c>
      <c r="F9552" s="3" t="inlineStr">
        <is>
          <t>유구읍</t>
        </is>
      </c>
      <c r="G9552" s="3" t="inlineStr">
        <is>
          <t>석남리</t>
        </is>
      </c>
      <c r="H9552" s="3" t="inlineStr">
        <is>
          <t>계획관리지역</t>
        </is>
      </c>
      <c r="I9552" s="3" t="inlineStr">
        <is>
          <t>전</t>
        </is>
      </c>
      <c r="J9552" s="3" t="inlineStr">
        <is>
          <t>유구읍</t>
        </is>
      </c>
    </row>
    <row r="9553">
      <c r="A9553" s="3" t="n">
        <v>2022</v>
      </c>
      <c r="B9553" s="4" t="n">
        <v>5100</v>
      </c>
      <c r="C9553" s="4" t="n">
        <v>992</v>
      </c>
      <c r="D9553" s="4" t="n">
        <v>300.08</v>
      </c>
      <c r="E9553" s="5" t="n">
        <v>17</v>
      </c>
      <c r="F9553" s="3" t="inlineStr">
        <is>
          <t>유구읍</t>
        </is>
      </c>
      <c r="G9553" s="3" t="inlineStr">
        <is>
          <t>석남리</t>
        </is>
      </c>
      <c r="H9553" s="3" t="inlineStr">
        <is>
          <t>계획관리지역</t>
        </is>
      </c>
      <c r="I9553" s="3" t="inlineStr">
        <is>
          <t>전</t>
        </is>
      </c>
      <c r="J9553" s="3" t="inlineStr">
        <is>
          <t>유구읍</t>
        </is>
      </c>
    </row>
    <row r="9554">
      <c r="A9554" s="3" t="n">
        <v>2022</v>
      </c>
      <c r="B9554" s="4" t="n">
        <v>2780</v>
      </c>
      <c r="C9554" s="4" t="n">
        <v>1150</v>
      </c>
      <c r="D9554" s="4" t="n">
        <v>347.875</v>
      </c>
      <c r="E9554" s="5" t="n">
        <v>8</v>
      </c>
      <c r="F9554" s="3" t="inlineStr">
        <is>
          <t>유구읍</t>
        </is>
      </c>
      <c r="G9554" s="3" t="inlineStr">
        <is>
          <t>추계리</t>
        </is>
      </c>
      <c r="H9554" s="3" t="inlineStr">
        <is>
          <t>보전관리지역</t>
        </is>
      </c>
      <c r="I9554" s="3" t="inlineStr">
        <is>
          <t>전</t>
        </is>
      </c>
      <c r="J9554" s="3" t="inlineStr">
        <is>
          <t>유구읍</t>
        </is>
      </c>
    </row>
    <row r="9555">
      <c r="A9555" s="3" t="n">
        <v>2022</v>
      </c>
      <c r="B9555" s="4" t="n">
        <v>2742</v>
      </c>
      <c r="C9555" s="4" t="n">
        <v>589</v>
      </c>
      <c r="D9555" s="4" t="n">
        <v>178.1725</v>
      </c>
      <c r="E9555" s="5" t="n">
        <v>15.4</v>
      </c>
      <c r="F9555" s="3" t="inlineStr">
        <is>
          <t>유구읍</t>
        </is>
      </c>
      <c r="G9555" s="3" t="inlineStr">
        <is>
          <t>녹천리</t>
        </is>
      </c>
      <c r="H9555" s="3" t="inlineStr">
        <is>
          <t>계획관리지역</t>
        </is>
      </c>
      <c r="I9555" s="3" t="inlineStr">
        <is>
          <t>답</t>
        </is>
      </c>
      <c r="J9555" s="3" t="inlineStr">
        <is>
          <t>유구읍</t>
        </is>
      </c>
    </row>
    <row r="9556">
      <c r="A9556" s="3" t="n">
        <v>2022</v>
      </c>
      <c r="B9556" s="4" t="n">
        <v>27786</v>
      </c>
      <c r="C9556" s="4" t="n">
        <v>7462</v>
      </c>
      <c r="D9556" s="4" t="n">
        <v>2257.255</v>
      </c>
      <c r="E9556" s="5" t="n">
        <v>12.3</v>
      </c>
      <c r="F9556" s="3" t="inlineStr">
        <is>
          <t>유구읍</t>
        </is>
      </c>
      <c r="G9556" s="3" t="inlineStr">
        <is>
          <t>문금리</t>
        </is>
      </c>
      <c r="H9556" s="3" t="inlineStr">
        <is>
          <t>계획관리지역</t>
        </is>
      </c>
      <c r="I9556" s="3" t="inlineStr">
        <is>
          <t>임야</t>
        </is>
      </c>
      <c r="J9556" s="3" t="inlineStr">
        <is>
          <t>유구읍</t>
        </is>
      </c>
    </row>
    <row r="9557">
      <c r="A9557" s="3" t="n">
        <v>2022</v>
      </c>
      <c r="B9557" s="4" t="n">
        <v>5214</v>
      </c>
      <c r="C9557" s="4" t="n">
        <v>298</v>
      </c>
      <c r="D9557" s="4" t="n">
        <v>90.145</v>
      </c>
      <c r="E9557" s="5" t="n">
        <v>57.8</v>
      </c>
      <c r="F9557" s="3" t="inlineStr">
        <is>
          <t>유구읍</t>
        </is>
      </c>
      <c r="G9557" s="3" t="inlineStr">
        <is>
          <t>문금리</t>
        </is>
      </c>
      <c r="H9557" s="3" t="inlineStr">
        <is>
          <t>계획관리지역</t>
        </is>
      </c>
      <c r="I9557" s="3" t="inlineStr">
        <is>
          <t>전</t>
        </is>
      </c>
      <c r="J9557" s="3" t="inlineStr">
        <is>
          <t>유구읍</t>
        </is>
      </c>
    </row>
    <row r="9558">
      <c r="A9558" s="3" t="n">
        <v>2022</v>
      </c>
      <c r="B9558" s="4" t="n">
        <v>8700</v>
      </c>
      <c r="C9558" s="4" t="n">
        <v>965</v>
      </c>
      <c r="D9558" s="4" t="n">
        <v>291.9125</v>
      </c>
      <c r="E9558" s="5" t="n">
        <v>29.8</v>
      </c>
      <c r="F9558" s="3" t="inlineStr">
        <is>
          <t>유구읍</t>
        </is>
      </c>
      <c r="G9558" s="3" t="inlineStr">
        <is>
          <t>신달리</t>
        </is>
      </c>
      <c r="H9558" s="3" t="inlineStr">
        <is>
          <t>보전관리지역</t>
        </is>
      </c>
      <c r="I9558" s="3" t="inlineStr">
        <is>
          <t>전</t>
        </is>
      </c>
      <c r="J9558" s="3" t="inlineStr">
        <is>
          <t>유구읍</t>
        </is>
      </c>
    </row>
    <row r="9559">
      <c r="A9559" s="3" t="n">
        <v>2022</v>
      </c>
      <c r="B9559" s="4" t="n">
        <v>25000</v>
      </c>
      <c r="C9559" s="4" t="n">
        <v>13057</v>
      </c>
      <c r="D9559" s="4" t="n">
        <v>3949.7425</v>
      </c>
      <c r="E9559" s="5" t="n">
        <v>6.3</v>
      </c>
      <c r="F9559" s="3" t="inlineStr">
        <is>
          <t>유구읍</t>
        </is>
      </c>
      <c r="G9559" s="3" t="inlineStr">
        <is>
          <t>문금리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유구읍</t>
        </is>
      </c>
    </row>
    <row r="9560">
      <c r="A9560" s="3" t="n">
        <v>2022</v>
      </c>
      <c r="B9560" s="4" t="n">
        <v>2400</v>
      </c>
      <c r="C9560" s="4" t="n">
        <v>554</v>
      </c>
      <c r="D9560" s="4" t="n">
        <v>167.585</v>
      </c>
      <c r="E9560" s="5" t="n">
        <v>14.3</v>
      </c>
      <c r="F9560" s="3" t="inlineStr">
        <is>
          <t>유구읍</t>
        </is>
      </c>
      <c r="G9560" s="3" t="inlineStr">
        <is>
          <t>구계리</t>
        </is>
      </c>
      <c r="H9560" s="3" t="inlineStr">
        <is>
          <t>계획관리지역</t>
        </is>
      </c>
      <c r="I9560" s="3" t="inlineStr">
        <is>
          <t>대</t>
        </is>
      </c>
      <c r="J9560" s="3" t="inlineStr">
        <is>
          <t>유구읍</t>
        </is>
      </c>
    </row>
    <row r="9561">
      <c r="A9561" s="3" t="n">
        <v>2022</v>
      </c>
      <c r="B9561" s="4" t="n">
        <v>1800</v>
      </c>
      <c r="C9561" s="4" t="n">
        <v>595</v>
      </c>
      <c r="D9561" s="4" t="n">
        <v>179.9875</v>
      </c>
      <c r="E9561" s="5" t="n">
        <v>10</v>
      </c>
      <c r="F9561" s="3" t="inlineStr">
        <is>
          <t>유구읍</t>
        </is>
      </c>
      <c r="G9561" s="3" t="inlineStr">
        <is>
          <t>문금리</t>
        </is>
      </c>
      <c r="H9561" s="3" t="inlineStr">
        <is>
          <t>계획관리지역</t>
        </is>
      </c>
      <c r="I9561" s="3" t="inlineStr">
        <is>
          <t>임야</t>
        </is>
      </c>
      <c r="J9561" s="3" t="inlineStr">
        <is>
          <t>유구읍</t>
        </is>
      </c>
    </row>
    <row r="9562">
      <c r="A9562" s="3" t="n">
        <v>2023</v>
      </c>
      <c r="B9562" s="4" t="n">
        <v>9000</v>
      </c>
      <c r="C9562" s="4" t="n">
        <v>932</v>
      </c>
      <c r="D9562" s="4" t="n">
        <v>281.93</v>
      </c>
      <c r="E9562" s="5" t="n">
        <v>31.9</v>
      </c>
      <c r="F9562" s="3" t="inlineStr">
        <is>
          <t>유구읍</t>
        </is>
      </c>
      <c r="G9562" s="3" t="inlineStr">
        <is>
          <t>명곡리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유구읍</t>
        </is>
      </c>
    </row>
    <row r="9563">
      <c r="A9563" s="3" t="n">
        <v>2023</v>
      </c>
      <c r="B9563" s="4" t="n">
        <v>1700</v>
      </c>
      <c r="C9563" s="4" t="n">
        <v>671</v>
      </c>
      <c r="D9563" s="4" t="n">
        <v>202.9775</v>
      </c>
      <c r="E9563" s="5" t="n">
        <v>8.4</v>
      </c>
      <c r="F9563" s="3" t="inlineStr">
        <is>
          <t>유구읍</t>
        </is>
      </c>
      <c r="G9563" s="3" t="inlineStr">
        <is>
          <t>문금리</t>
        </is>
      </c>
      <c r="H9563" s="3" t="inlineStr">
        <is>
          <t>계획관리지역</t>
        </is>
      </c>
      <c r="I9563" s="3" t="inlineStr">
        <is>
          <t>답</t>
        </is>
      </c>
      <c r="J9563" s="3" t="inlineStr">
        <is>
          <t>유구읍</t>
        </is>
      </c>
    </row>
    <row r="9564">
      <c r="A9564" s="3" t="n">
        <v>2023</v>
      </c>
      <c r="B9564" s="4" t="n">
        <v>1900</v>
      </c>
      <c r="C9564" s="4" t="n">
        <v>754</v>
      </c>
      <c r="D9564" s="4" t="n">
        <v>228.085</v>
      </c>
      <c r="E9564" s="5" t="n">
        <v>8.300000000000001</v>
      </c>
      <c r="F9564" s="3" t="inlineStr">
        <is>
          <t>유구읍</t>
        </is>
      </c>
      <c r="G9564" s="3" t="inlineStr">
        <is>
          <t>문금리</t>
        </is>
      </c>
      <c r="H9564" s="3" t="inlineStr">
        <is>
          <t>계획관리지역</t>
        </is>
      </c>
      <c r="I9564" s="3" t="inlineStr">
        <is>
          <t>답</t>
        </is>
      </c>
      <c r="J9564" s="3" t="inlineStr">
        <is>
          <t>유구읍</t>
        </is>
      </c>
    </row>
    <row r="9565">
      <c r="A9565" s="3" t="n">
        <v>2023</v>
      </c>
      <c r="B9565" s="4" t="n">
        <v>6750</v>
      </c>
      <c r="C9565" s="4" t="n">
        <v>183</v>
      </c>
      <c r="D9565" s="4" t="n">
        <v>55.3575</v>
      </c>
      <c r="E9565" s="5" t="n">
        <v>121.9</v>
      </c>
      <c r="F9565" s="3" t="inlineStr">
        <is>
          <t>유구읍</t>
        </is>
      </c>
      <c r="G9565" s="3" t="inlineStr">
        <is>
          <t>백교리</t>
        </is>
      </c>
      <c r="H9565" s="3" t="inlineStr">
        <is>
          <t>제2종일반주거지역</t>
        </is>
      </c>
      <c r="I9565" s="3" t="inlineStr">
        <is>
          <t>답</t>
        </is>
      </c>
      <c r="J9565" s="3" t="inlineStr">
        <is>
          <t>유구읍</t>
        </is>
      </c>
    </row>
    <row r="9566">
      <c r="A9566" s="3" t="n">
        <v>2023</v>
      </c>
      <c r="B9566" s="4" t="n">
        <v>5700</v>
      </c>
      <c r="C9566" s="4" t="n">
        <v>1583</v>
      </c>
      <c r="D9566" s="4" t="n">
        <v>478.8575</v>
      </c>
      <c r="E9566" s="5" t="n">
        <v>11.9</v>
      </c>
      <c r="F9566" s="3" t="inlineStr">
        <is>
          <t>유구읍</t>
        </is>
      </c>
      <c r="G9566" s="3" t="inlineStr">
        <is>
          <t>만천리</t>
        </is>
      </c>
      <c r="H9566" s="3" t="inlineStr">
        <is>
          <t>농림지역</t>
        </is>
      </c>
      <c r="I9566" s="3" t="inlineStr">
        <is>
          <t>답</t>
        </is>
      </c>
      <c r="J9566" s="3" t="inlineStr">
        <is>
          <t>유구읍</t>
        </is>
      </c>
    </row>
    <row r="9567">
      <c r="A9567" s="3" t="n">
        <v>2023</v>
      </c>
      <c r="B9567" s="4" t="n">
        <v>8700</v>
      </c>
      <c r="C9567" s="4" t="n">
        <v>2218</v>
      </c>
      <c r="D9567" s="4" t="n">
        <v>670.9449999999999</v>
      </c>
      <c r="E9567" s="5" t="n">
        <v>13</v>
      </c>
      <c r="F9567" s="3" t="inlineStr">
        <is>
          <t>유구읍</t>
        </is>
      </c>
      <c r="G9567" s="3" t="inlineStr">
        <is>
          <t>추계리</t>
        </is>
      </c>
      <c r="H9567" s="3" t="inlineStr">
        <is>
          <t>생산관리지역</t>
        </is>
      </c>
      <c r="I9567" s="3" t="inlineStr">
        <is>
          <t>답</t>
        </is>
      </c>
      <c r="J9567" s="3" t="inlineStr">
        <is>
          <t>유구읍</t>
        </is>
      </c>
    </row>
    <row r="9568">
      <c r="A9568" s="3" t="n">
        <v>2023</v>
      </c>
      <c r="B9568" s="4" t="n">
        <v>8300</v>
      </c>
      <c r="C9568" s="4" t="n">
        <v>1412</v>
      </c>
      <c r="D9568" s="4" t="n">
        <v>427.13</v>
      </c>
      <c r="E9568" s="5" t="n">
        <v>19.4</v>
      </c>
      <c r="F9568" s="3" t="inlineStr">
        <is>
          <t>유구읍</t>
        </is>
      </c>
      <c r="G9568" s="3" t="inlineStr">
        <is>
          <t>신영리</t>
        </is>
      </c>
      <c r="H9568" s="3" t="inlineStr">
        <is>
          <t>보전관리지역</t>
        </is>
      </c>
      <c r="I9568" s="3" t="inlineStr">
        <is>
          <t>전</t>
        </is>
      </c>
      <c r="J9568" s="3" t="inlineStr">
        <is>
          <t>유구읍</t>
        </is>
      </c>
    </row>
    <row r="9569">
      <c r="A9569" s="3" t="n">
        <v>2023</v>
      </c>
      <c r="B9569" s="4" t="n">
        <v>1700</v>
      </c>
      <c r="C9569" s="4" t="n">
        <v>63</v>
      </c>
      <c r="D9569" s="4" t="n">
        <v>19.0575</v>
      </c>
      <c r="E9569" s="5" t="n">
        <v>89.2</v>
      </c>
      <c r="F9569" s="3" t="inlineStr">
        <is>
          <t>유구읍</t>
        </is>
      </c>
      <c r="G9569" s="3" t="inlineStr">
        <is>
          <t>유구리</t>
        </is>
      </c>
      <c r="H9569" s="3" t="inlineStr">
        <is>
          <t>제2종일반주거지역</t>
        </is>
      </c>
      <c r="I9569" s="3" t="inlineStr">
        <is>
          <t>전</t>
        </is>
      </c>
      <c r="J9569" s="3" t="inlineStr">
        <is>
          <t>유구읍</t>
        </is>
      </c>
    </row>
    <row r="9570">
      <c r="A9570" s="3" t="n">
        <v>2023</v>
      </c>
      <c r="B9570" s="4" t="n">
        <v>750</v>
      </c>
      <c r="C9570" s="4" t="n">
        <v>165</v>
      </c>
      <c r="D9570" s="4" t="n">
        <v>49.9125</v>
      </c>
      <c r="E9570" s="5" t="n">
        <v>15</v>
      </c>
      <c r="F9570" s="3" t="inlineStr">
        <is>
          <t>유구읍</t>
        </is>
      </c>
      <c r="G9570" s="3" t="inlineStr">
        <is>
          <t>추계리</t>
        </is>
      </c>
      <c r="H9570" s="3" t="inlineStr">
        <is>
          <t>생산관리지역</t>
        </is>
      </c>
      <c r="I9570" s="3" t="inlineStr">
        <is>
          <t>답</t>
        </is>
      </c>
      <c r="J9570" s="3" t="inlineStr">
        <is>
          <t>유구읍</t>
        </is>
      </c>
    </row>
    <row r="9571">
      <c r="A9571" s="3" t="n">
        <v>2023</v>
      </c>
      <c r="B9571" s="4" t="n">
        <v>2500</v>
      </c>
      <c r="C9571" s="4" t="n">
        <v>6470</v>
      </c>
      <c r="D9571" s="4" t="n">
        <v>1957.175</v>
      </c>
      <c r="E9571" s="5" t="n">
        <v>1.3</v>
      </c>
      <c r="F9571" s="3" t="inlineStr">
        <is>
          <t>유구읍</t>
        </is>
      </c>
      <c r="G9571" s="3" t="inlineStr">
        <is>
          <t>녹천리</t>
        </is>
      </c>
      <c r="H9571" s="3" t="inlineStr">
        <is>
          <t>계획관리지역</t>
        </is>
      </c>
      <c r="I9571" s="3" t="inlineStr">
        <is>
          <t>임야</t>
        </is>
      </c>
      <c r="J9571" s="3" t="inlineStr">
        <is>
          <t>유구읍</t>
        </is>
      </c>
    </row>
    <row r="9572">
      <c r="A9572" s="3" t="n">
        <v>2023</v>
      </c>
      <c r="B9572" s="4" t="n">
        <v>2500</v>
      </c>
      <c r="C9572" s="4" t="n">
        <v>330</v>
      </c>
      <c r="D9572" s="4" t="n">
        <v>99.825</v>
      </c>
      <c r="E9572" s="5" t="n">
        <v>25</v>
      </c>
      <c r="F9572" s="3" t="inlineStr">
        <is>
          <t>유구읍</t>
        </is>
      </c>
      <c r="G9572" s="3" t="inlineStr">
        <is>
          <t>백교리</t>
        </is>
      </c>
      <c r="H9572" s="3" t="inlineStr">
        <is>
          <t>자연녹지지역</t>
        </is>
      </c>
      <c r="I9572" s="3" t="inlineStr">
        <is>
          <t>전</t>
        </is>
      </c>
      <c r="J9572" s="3" t="inlineStr">
        <is>
          <t>유구읍</t>
        </is>
      </c>
    </row>
    <row r="9573">
      <c r="A9573" s="3" t="n">
        <v>2023</v>
      </c>
      <c r="B9573" s="4" t="n">
        <v>24300</v>
      </c>
      <c r="C9573" s="4" t="n">
        <v>2678</v>
      </c>
      <c r="D9573" s="4" t="n">
        <v>810.095</v>
      </c>
      <c r="E9573" s="5" t="n">
        <v>30</v>
      </c>
      <c r="F9573" s="3" t="inlineStr">
        <is>
          <t>유구읍</t>
        </is>
      </c>
      <c r="G9573" s="3" t="inlineStr">
        <is>
          <t>녹천리</t>
        </is>
      </c>
      <c r="H9573" s="3" t="inlineStr">
        <is>
          <t>제2종일반주거지역</t>
        </is>
      </c>
      <c r="I9573" s="3" t="inlineStr">
        <is>
          <t>과수원</t>
        </is>
      </c>
      <c r="J9573" s="3" t="inlineStr">
        <is>
          <t>유구읍</t>
        </is>
      </c>
    </row>
    <row r="9574">
      <c r="A9574" s="3" t="n">
        <v>2023</v>
      </c>
      <c r="B9574" s="4" t="n">
        <v>5600</v>
      </c>
      <c r="C9574" s="4" t="n">
        <v>1243</v>
      </c>
      <c r="D9574" s="4" t="n">
        <v>376.0075</v>
      </c>
      <c r="E9574" s="5" t="n">
        <v>14.9</v>
      </c>
      <c r="F9574" s="3" t="inlineStr">
        <is>
          <t>유구읍</t>
        </is>
      </c>
      <c r="G9574" s="3" t="inlineStr">
        <is>
          <t>입석리</t>
        </is>
      </c>
      <c r="H9574" s="3" t="inlineStr">
        <is>
          <t>농림지역</t>
        </is>
      </c>
      <c r="I9574" s="3" t="inlineStr">
        <is>
          <t>답</t>
        </is>
      </c>
      <c r="J9574" s="3" t="inlineStr">
        <is>
          <t>유구읍</t>
        </is>
      </c>
    </row>
    <row r="9575">
      <c r="A9575" s="3" t="n">
        <v>2023</v>
      </c>
      <c r="B9575" s="4" t="n">
        <v>4000</v>
      </c>
      <c r="C9575" s="4" t="n">
        <v>1385</v>
      </c>
      <c r="D9575" s="4" t="n">
        <v>418.9625</v>
      </c>
      <c r="E9575" s="5" t="n">
        <v>9.5</v>
      </c>
      <c r="F9575" s="3" t="inlineStr">
        <is>
          <t>유구읍</t>
        </is>
      </c>
      <c r="G9575" s="3" t="inlineStr">
        <is>
          <t>추계리</t>
        </is>
      </c>
      <c r="H9575" s="3" t="inlineStr">
        <is>
          <t>생산관리지역</t>
        </is>
      </c>
      <c r="I9575" s="3" t="inlineStr">
        <is>
          <t>답</t>
        </is>
      </c>
      <c r="J9575" s="3" t="inlineStr">
        <is>
          <t>유구읍</t>
        </is>
      </c>
    </row>
    <row r="9576">
      <c r="A9576" s="3" t="n">
        <v>2023</v>
      </c>
      <c r="B9576" s="4" t="n">
        <v>2000</v>
      </c>
      <c r="C9576" s="4" t="n">
        <v>360</v>
      </c>
      <c r="D9576" s="4" t="n">
        <v>108.9</v>
      </c>
      <c r="E9576" s="5" t="n">
        <v>18.4</v>
      </c>
      <c r="F9576" s="3" t="inlineStr">
        <is>
          <t>유구읍</t>
        </is>
      </c>
      <c r="G9576" s="3" t="inlineStr">
        <is>
          <t>세동리</t>
        </is>
      </c>
      <c r="H9576" s="3" t="inlineStr">
        <is>
          <t>생산관리지역</t>
        </is>
      </c>
      <c r="I9576" s="3" t="inlineStr">
        <is>
          <t>전</t>
        </is>
      </c>
      <c r="J9576" s="3" t="inlineStr">
        <is>
          <t>유구읍</t>
        </is>
      </c>
    </row>
    <row r="9577">
      <c r="A9577" s="3" t="n">
        <v>2023</v>
      </c>
      <c r="B9577" s="4" t="n">
        <v>11500</v>
      </c>
      <c r="C9577" s="4" t="n">
        <v>3365</v>
      </c>
      <c r="D9577" s="4" t="n">
        <v>1017.9125</v>
      </c>
      <c r="E9577" s="5" t="n">
        <v>11.3</v>
      </c>
      <c r="F9577" s="3" t="inlineStr">
        <is>
          <t>유구읍</t>
        </is>
      </c>
      <c r="G9577" s="3" t="inlineStr">
        <is>
          <t>녹천리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유구읍</t>
        </is>
      </c>
    </row>
    <row r="9578">
      <c r="A9578" s="3" t="n">
        <v>2023</v>
      </c>
      <c r="B9578" s="4" t="n">
        <v>500</v>
      </c>
      <c r="C9578" s="4" t="n">
        <v>116</v>
      </c>
      <c r="D9578" s="4" t="n">
        <v>35.09</v>
      </c>
      <c r="E9578" s="5" t="n">
        <v>14.2</v>
      </c>
      <c r="F9578" s="3" t="inlineStr">
        <is>
          <t>유구읍</t>
        </is>
      </c>
      <c r="G9578" s="3" t="inlineStr">
        <is>
          <t>녹천리</t>
        </is>
      </c>
      <c r="H9578" s="3" t="inlineStr">
        <is>
          <t>계획관리지역</t>
        </is>
      </c>
      <c r="I9578" s="3" t="inlineStr">
        <is>
          <t>전</t>
        </is>
      </c>
      <c r="J9578" s="3" t="inlineStr">
        <is>
          <t>유구읍</t>
        </is>
      </c>
    </row>
    <row r="9579">
      <c r="A9579" s="3" t="n">
        <v>2023</v>
      </c>
      <c r="B9579" s="4" t="n">
        <v>1803</v>
      </c>
      <c r="C9579" s="4" t="n">
        <v>731</v>
      </c>
      <c r="D9579" s="4" t="n">
        <v>221.1275</v>
      </c>
      <c r="E9579" s="5" t="n">
        <v>8.199999999999999</v>
      </c>
      <c r="F9579" s="3" t="inlineStr">
        <is>
          <t>유구읍</t>
        </is>
      </c>
      <c r="G9579" s="3" t="inlineStr">
        <is>
          <t>만천리</t>
        </is>
      </c>
      <c r="H9579" s="3" t="inlineStr">
        <is>
          <t>계획관리지역</t>
        </is>
      </c>
      <c r="I9579" s="3" t="inlineStr">
        <is>
          <t>답</t>
        </is>
      </c>
      <c r="J9579" s="3" t="inlineStr">
        <is>
          <t>유구읍</t>
        </is>
      </c>
    </row>
    <row r="9580">
      <c r="A9580" s="3" t="n">
        <v>2023</v>
      </c>
      <c r="B9580" s="4" t="n">
        <v>1223</v>
      </c>
      <c r="C9580" s="4" t="n">
        <v>496</v>
      </c>
      <c r="D9580" s="4" t="n">
        <v>150.04</v>
      </c>
      <c r="E9580" s="5" t="n">
        <v>8.199999999999999</v>
      </c>
      <c r="F9580" s="3" t="inlineStr">
        <is>
          <t>유구읍</t>
        </is>
      </c>
      <c r="G9580" s="3" t="inlineStr">
        <is>
          <t>만천리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유구읍</t>
        </is>
      </c>
    </row>
    <row r="9581">
      <c r="A9581" s="3" t="n">
        <v>2023</v>
      </c>
      <c r="B9581" s="4" t="n">
        <v>1030</v>
      </c>
      <c r="C9581" s="4" t="n">
        <v>417</v>
      </c>
      <c r="D9581" s="4" t="n">
        <v>126.1425</v>
      </c>
      <c r="E9581" s="5" t="n">
        <v>8.199999999999999</v>
      </c>
      <c r="F9581" s="3" t="inlineStr">
        <is>
          <t>유구읍</t>
        </is>
      </c>
      <c r="G9581" s="3" t="inlineStr">
        <is>
          <t>만천리</t>
        </is>
      </c>
      <c r="H9581" s="3" t="inlineStr">
        <is>
          <t>계획관리지역</t>
        </is>
      </c>
      <c r="I9581" s="3" t="inlineStr">
        <is>
          <t>전</t>
        </is>
      </c>
      <c r="J9581" s="3" t="inlineStr">
        <is>
          <t>유구읍</t>
        </is>
      </c>
    </row>
    <row r="9582">
      <c r="A9582" s="3" t="n">
        <v>2024</v>
      </c>
      <c r="B9582" s="4" t="n">
        <v>11200</v>
      </c>
      <c r="C9582" s="4" t="n">
        <v>833</v>
      </c>
      <c r="D9582" s="4" t="n">
        <v>251.9825</v>
      </c>
      <c r="E9582" s="5" t="n">
        <v>44.4</v>
      </c>
      <c r="F9582" s="3" t="inlineStr">
        <is>
          <t>유구읍</t>
        </is>
      </c>
      <c r="G9582" s="3" t="inlineStr">
        <is>
          <t>덕곡리</t>
        </is>
      </c>
      <c r="H9582" s="3" t="inlineStr">
        <is>
          <t>계획관리지역</t>
        </is>
      </c>
      <c r="I9582" s="3" t="inlineStr">
        <is>
          <t>대</t>
        </is>
      </c>
      <c r="J9582" s="3" t="inlineStr">
        <is>
          <t>유구읍</t>
        </is>
      </c>
    </row>
    <row r="9583">
      <c r="A9583" s="3" t="n">
        <v>2024</v>
      </c>
      <c r="B9583" s="4" t="n">
        <v>8900</v>
      </c>
      <c r="C9583" s="4" t="n">
        <v>1458</v>
      </c>
      <c r="D9583" s="4" t="n">
        <v>441.045</v>
      </c>
      <c r="E9583" s="5" t="n">
        <v>20.2</v>
      </c>
      <c r="F9583" s="3" t="inlineStr">
        <is>
          <t>유구읍</t>
        </is>
      </c>
      <c r="G9583" s="3" t="inlineStr">
        <is>
          <t>녹천리</t>
        </is>
      </c>
      <c r="H9583" s="3" t="inlineStr">
        <is>
          <t>자연녹지지역</t>
        </is>
      </c>
      <c r="I9583" s="3" t="inlineStr">
        <is>
          <t>답</t>
        </is>
      </c>
      <c r="J9583" s="3" t="inlineStr">
        <is>
          <t>유구읍</t>
        </is>
      </c>
    </row>
    <row r="9584">
      <c r="A9584" s="3" t="n">
        <v>2024</v>
      </c>
      <c r="B9584" s="4" t="n">
        <v>1800</v>
      </c>
      <c r="C9584" s="4" t="n">
        <v>313</v>
      </c>
      <c r="D9584" s="4" t="n">
        <v>94.68249999999999</v>
      </c>
      <c r="E9584" s="5" t="n">
        <v>19</v>
      </c>
      <c r="F9584" s="3" t="inlineStr">
        <is>
          <t>유구읍</t>
        </is>
      </c>
      <c r="G9584" s="3" t="inlineStr">
        <is>
          <t>녹천리</t>
        </is>
      </c>
      <c r="H9584" s="3" t="inlineStr">
        <is>
          <t>자연녹지지역</t>
        </is>
      </c>
      <c r="I9584" s="3" t="inlineStr">
        <is>
          <t>답</t>
        </is>
      </c>
      <c r="J9584" s="3" t="inlineStr">
        <is>
          <t>유구읍</t>
        </is>
      </c>
    </row>
    <row r="9585">
      <c r="A9585" s="3" t="n">
        <v>2024</v>
      </c>
      <c r="B9585" s="4" t="n">
        <v>12136</v>
      </c>
      <c r="C9585" s="4" t="n">
        <v>1615</v>
      </c>
      <c r="D9585" s="4" t="n">
        <v>488.5375</v>
      </c>
      <c r="E9585" s="5" t="n">
        <v>24.8</v>
      </c>
      <c r="F9585" s="3" t="inlineStr">
        <is>
          <t>유구읍</t>
        </is>
      </c>
      <c r="G9585" s="3" t="inlineStr">
        <is>
          <t>유구리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유구읍</t>
        </is>
      </c>
    </row>
    <row r="9586">
      <c r="A9586" s="3" t="n">
        <v>2024</v>
      </c>
      <c r="B9586" s="4" t="n">
        <v>1564</v>
      </c>
      <c r="C9586" s="4" t="n">
        <v>208</v>
      </c>
      <c r="D9586" s="4" t="n">
        <v>62.92</v>
      </c>
      <c r="E9586" s="5" t="n">
        <v>24.9</v>
      </c>
      <c r="F9586" s="3" t="inlineStr">
        <is>
          <t>유구읍</t>
        </is>
      </c>
      <c r="G9586" s="3" t="inlineStr">
        <is>
          <t>유구리</t>
        </is>
      </c>
      <c r="H9586" s="3" t="inlineStr">
        <is>
          <t>계획관리지역</t>
        </is>
      </c>
      <c r="I9586" s="3" t="inlineStr">
        <is>
          <t>대</t>
        </is>
      </c>
      <c r="J9586" s="3" t="inlineStr">
        <is>
          <t>유구읍</t>
        </is>
      </c>
    </row>
    <row r="9587">
      <c r="A9587" s="3" t="n">
        <v>2024</v>
      </c>
      <c r="B9587" s="4" t="n">
        <v>1182</v>
      </c>
      <c r="C9587" s="4" t="n">
        <v>1305</v>
      </c>
      <c r="D9587" s="4" t="n">
        <v>394.7625</v>
      </c>
      <c r="E9587" s="5" t="n">
        <v>3</v>
      </c>
      <c r="F9587" s="3" t="inlineStr">
        <is>
          <t>유구읍</t>
        </is>
      </c>
      <c r="G9587" s="3" t="inlineStr">
        <is>
          <t>유구리</t>
        </is>
      </c>
      <c r="H9587" s="3" t="inlineStr">
        <is>
          <t>계획관리지역</t>
        </is>
      </c>
      <c r="I9587" s="3" t="inlineStr">
        <is>
          <t>임야</t>
        </is>
      </c>
      <c r="J9587" s="3" t="inlineStr">
        <is>
          <t>유구읍</t>
        </is>
      </c>
    </row>
    <row r="9588">
      <c r="A9588" s="3" t="n">
        <v>2024</v>
      </c>
      <c r="B9588" s="4" t="n">
        <v>300</v>
      </c>
      <c r="C9588" s="4" t="n">
        <v>66</v>
      </c>
      <c r="D9588" s="4" t="n">
        <v>19.965</v>
      </c>
      <c r="E9588" s="5" t="n">
        <v>15</v>
      </c>
      <c r="F9588" s="3" t="inlineStr">
        <is>
          <t>유구읍</t>
        </is>
      </c>
      <c r="G9588" s="3" t="inlineStr">
        <is>
          <t>구계리</t>
        </is>
      </c>
      <c r="H9588" s="3" t="inlineStr">
        <is>
          <t>보전관리지역</t>
        </is>
      </c>
      <c r="I9588" s="3" t="inlineStr">
        <is>
          <t>답</t>
        </is>
      </c>
      <c r="J9588" s="3" t="inlineStr">
        <is>
          <t>유구읍</t>
        </is>
      </c>
    </row>
    <row r="9589">
      <c r="A9589" s="3" t="n">
        <v>2024</v>
      </c>
      <c r="B9589" s="4" t="n">
        <v>1500</v>
      </c>
      <c r="C9589" s="4" t="n">
        <v>754</v>
      </c>
      <c r="D9589" s="4" t="n">
        <v>228.085</v>
      </c>
      <c r="E9589" s="5" t="n">
        <v>6.6</v>
      </c>
      <c r="F9589" s="3" t="inlineStr">
        <is>
          <t>유구읍</t>
        </is>
      </c>
      <c r="G9589" s="3" t="inlineStr">
        <is>
          <t>구계리</t>
        </is>
      </c>
      <c r="H9589" s="3" t="inlineStr">
        <is>
          <t>보전관리지역</t>
        </is>
      </c>
      <c r="I9589" s="3" t="inlineStr">
        <is>
          <t>답</t>
        </is>
      </c>
      <c r="J9589" s="3" t="inlineStr">
        <is>
          <t>유구읍</t>
        </is>
      </c>
    </row>
    <row r="9590">
      <c r="A9590" s="3" t="n">
        <v>2024</v>
      </c>
      <c r="B9590" s="4" t="n">
        <v>1300</v>
      </c>
      <c r="C9590" s="4" t="n">
        <v>367</v>
      </c>
      <c r="D9590" s="4" t="n">
        <v>111.0175</v>
      </c>
      <c r="E9590" s="5" t="n">
        <v>11.7</v>
      </c>
      <c r="F9590" s="3" t="inlineStr">
        <is>
          <t>유구읍</t>
        </is>
      </c>
      <c r="G9590" s="3" t="inlineStr">
        <is>
          <t>입석리</t>
        </is>
      </c>
      <c r="H9590" s="3" t="inlineStr">
        <is>
          <t>보전관리지역</t>
        </is>
      </c>
      <c r="I9590" s="3" t="inlineStr">
        <is>
          <t>전</t>
        </is>
      </c>
      <c r="J9590" s="3" t="inlineStr">
        <is>
          <t>유구읍</t>
        </is>
      </c>
    </row>
    <row r="9591">
      <c r="A9591" s="3" t="n">
        <v>2024</v>
      </c>
      <c r="B9591" s="4" t="n">
        <v>8000</v>
      </c>
      <c r="C9591" s="4" t="n">
        <v>1101</v>
      </c>
      <c r="D9591" s="4" t="n">
        <v>333.0525</v>
      </c>
      <c r="E9591" s="5" t="n">
        <v>24</v>
      </c>
      <c r="F9591" s="3" t="inlineStr">
        <is>
          <t>유구읍</t>
        </is>
      </c>
      <c r="G9591" s="3" t="inlineStr">
        <is>
          <t>입석리</t>
        </is>
      </c>
      <c r="H9591" s="3" t="inlineStr">
        <is>
          <t>계획관리지역</t>
        </is>
      </c>
      <c r="I9591" s="3" t="inlineStr">
        <is>
          <t>대</t>
        </is>
      </c>
      <c r="J9591" s="3" t="inlineStr">
        <is>
          <t>유구읍</t>
        </is>
      </c>
    </row>
    <row r="9592">
      <c r="A9592" s="3" t="n">
        <v>2024</v>
      </c>
      <c r="B9592" s="4" t="n">
        <v>10756</v>
      </c>
      <c r="C9592" s="4" t="n">
        <v>2561</v>
      </c>
      <c r="D9592" s="4" t="n">
        <v>774.7025</v>
      </c>
      <c r="E9592" s="5" t="n">
        <v>13.9</v>
      </c>
      <c r="F9592" s="3" t="inlineStr">
        <is>
          <t>유구읍</t>
        </is>
      </c>
      <c r="G9592" s="3" t="inlineStr">
        <is>
          <t>신영리</t>
        </is>
      </c>
      <c r="H9592" s="3" t="inlineStr">
        <is>
          <t>농림지역</t>
        </is>
      </c>
      <c r="I9592" s="3" t="inlineStr">
        <is>
          <t>답</t>
        </is>
      </c>
      <c r="J9592" s="3" t="inlineStr">
        <is>
          <t>유구읍</t>
        </is>
      </c>
    </row>
    <row r="9593">
      <c r="A9593" s="3" t="n">
        <v>2024</v>
      </c>
      <c r="B9593" s="4" t="n">
        <v>4000</v>
      </c>
      <c r="C9593" s="4" t="n">
        <v>387</v>
      </c>
      <c r="D9593" s="4" t="n">
        <v>117.0675</v>
      </c>
      <c r="E9593" s="5" t="n">
        <v>34.2</v>
      </c>
      <c r="F9593" s="3" t="inlineStr">
        <is>
          <t>유구읍</t>
        </is>
      </c>
      <c r="G9593" s="3" t="inlineStr">
        <is>
          <t>문금리</t>
        </is>
      </c>
      <c r="H9593" s="3" t="inlineStr">
        <is>
          <t>계획관리지역</t>
        </is>
      </c>
      <c r="I9593" s="3" t="inlineStr">
        <is>
          <t>대</t>
        </is>
      </c>
      <c r="J9593" s="3" t="inlineStr">
        <is>
          <t>유구읍</t>
        </is>
      </c>
    </row>
    <row r="9594">
      <c r="A9594" s="3" t="n">
        <v>2024</v>
      </c>
      <c r="B9594" s="4" t="n">
        <v>1900</v>
      </c>
      <c r="C9594" s="4" t="n">
        <v>1177</v>
      </c>
      <c r="D9594" s="4" t="n">
        <v>356.0425</v>
      </c>
      <c r="E9594" s="5" t="n">
        <v>5.3</v>
      </c>
      <c r="F9594" s="3" t="inlineStr">
        <is>
          <t>유구읍</t>
        </is>
      </c>
      <c r="G9594" s="3" t="inlineStr">
        <is>
          <t>세동리</t>
        </is>
      </c>
      <c r="H9594" s="3" t="inlineStr">
        <is>
          <t>생산관리지역</t>
        </is>
      </c>
      <c r="I9594" s="3" t="inlineStr">
        <is>
          <t>전</t>
        </is>
      </c>
      <c r="J9594" s="3" t="inlineStr">
        <is>
          <t>유구읍</t>
        </is>
      </c>
    </row>
    <row r="9595">
      <c r="A9595" s="3" t="n">
        <v>2023</v>
      </c>
      <c r="B9595" s="4" t="n">
        <v>8000</v>
      </c>
      <c r="C9595" s="4" t="n">
        <v>3881</v>
      </c>
      <c r="D9595" s="4" t="n">
        <v>1174.0025</v>
      </c>
      <c r="E9595" s="5" t="n">
        <v>6.8</v>
      </c>
      <c r="F9595" s="3" t="inlineStr">
        <is>
          <t>유구읍</t>
        </is>
      </c>
      <c r="G9595" s="3" t="inlineStr">
        <is>
          <t>문금리</t>
        </is>
      </c>
      <c r="H9595" s="3" t="inlineStr">
        <is>
          <t>계획관리지역</t>
        </is>
      </c>
      <c r="I9595" s="3" t="inlineStr">
        <is>
          <t>답</t>
        </is>
      </c>
      <c r="J9595" s="3" t="inlineStr">
        <is>
          <t>유구읍</t>
        </is>
      </c>
    </row>
    <row r="9596">
      <c r="A9596" s="3" t="n">
        <v>2023</v>
      </c>
      <c r="B9596" s="4" t="n">
        <v>505</v>
      </c>
      <c r="C9596" s="4" t="n">
        <v>205</v>
      </c>
      <c r="D9596" s="4" t="n">
        <v>62.0125</v>
      </c>
      <c r="E9596" s="5" t="n">
        <v>8.1</v>
      </c>
      <c r="F9596" s="3" t="inlineStr">
        <is>
          <t>유구읍</t>
        </is>
      </c>
      <c r="G9596" s="3" t="inlineStr">
        <is>
          <t>만천리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유구읍</t>
        </is>
      </c>
    </row>
    <row r="9597">
      <c r="A9597" s="3" t="n">
        <v>2022</v>
      </c>
      <c r="B9597" s="4" t="n">
        <v>10000</v>
      </c>
      <c r="C9597" s="4" t="n">
        <v>2963</v>
      </c>
      <c r="D9597" s="4" t="n">
        <v>896.3075</v>
      </c>
      <c r="E9597" s="5" t="n">
        <v>11.2</v>
      </c>
      <c r="F9597" s="3" t="inlineStr">
        <is>
          <t>유구읍</t>
        </is>
      </c>
      <c r="G9597" s="3" t="inlineStr">
        <is>
          <t>신영리</t>
        </is>
      </c>
      <c r="H9597" s="3" t="inlineStr">
        <is>
          <t>농림지역</t>
        </is>
      </c>
      <c r="I9597" s="3" t="inlineStr">
        <is>
          <t>답</t>
        </is>
      </c>
      <c r="J9597" s="3" t="inlineStr">
        <is>
          <t>유구읍</t>
        </is>
      </c>
    </row>
    <row r="9598">
      <c r="A9598" s="3" t="n">
        <v>2022</v>
      </c>
      <c r="B9598" s="4" t="n">
        <v>5140</v>
      </c>
      <c r="C9598" s="4" t="n">
        <v>896</v>
      </c>
      <c r="D9598" s="4" t="n">
        <v>271.04</v>
      </c>
      <c r="E9598" s="5" t="n">
        <v>19</v>
      </c>
      <c r="F9598" s="3" t="inlineStr">
        <is>
          <t>유구읍</t>
        </is>
      </c>
      <c r="G9598" s="3" t="inlineStr">
        <is>
          <t>문금리</t>
        </is>
      </c>
      <c r="H9598" s="3" t="inlineStr">
        <is>
          <t>계획관리지역</t>
        </is>
      </c>
      <c r="I9598" s="3" t="inlineStr">
        <is>
          <t>전</t>
        </is>
      </c>
      <c r="J9598" s="3" t="inlineStr">
        <is>
          <t>유구읍</t>
        </is>
      </c>
    </row>
    <row r="9599">
      <c r="A9599" s="3" t="n">
        <v>2022</v>
      </c>
      <c r="B9599" s="4" t="n">
        <v>6200</v>
      </c>
      <c r="C9599" s="4" t="n">
        <v>931</v>
      </c>
      <c r="D9599" s="4" t="n">
        <v>281.6275</v>
      </c>
      <c r="E9599" s="5" t="n">
        <v>22</v>
      </c>
      <c r="F9599" s="3" t="inlineStr">
        <is>
          <t>유구읍</t>
        </is>
      </c>
      <c r="G9599" s="3" t="inlineStr">
        <is>
          <t>탑곡리</t>
        </is>
      </c>
      <c r="H9599" s="3" t="inlineStr">
        <is>
          <t>계획관리지역</t>
        </is>
      </c>
      <c r="I9599" s="3" t="inlineStr">
        <is>
          <t>대</t>
        </is>
      </c>
      <c r="J9599" s="3" t="inlineStr">
        <is>
          <t>유구읍</t>
        </is>
      </c>
    </row>
    <row r="9600">
      <c r="A9600" s="3" t="n">
        <v>2022</v>
      </c>
      <c r="B9600" s="4" t="n">
        <v>3140</v>
      </c>
      <c r="C9600" s="4" t="n">
        <v>868</v>
      </c>
      <c r="D9600" s="4" t="n">
        <v>262.57</v>
      </c>
      <c r="E9600" s="5" t="n">
        <v>12</v>
      </c>
      <c r="F9600" s="3" t="inlineStr">
        <is>
          <t>유구읍</t>
        </is>
      </c>
      <c r="G9600" s="3" t="inlineStr">
        <is>
          <t>탑곡리</t>
        </is>
      </c>
      <c r="H9600" s="3" t="inlineStr">
        <is>
          <t>계획관리지역</t>
        </is>
      </c>
      <c r="I9600" s="3" t="inlineStr">
        <is>
          <t>답</t>
        </is>
      </c>
      <c r="J9600" s="3" t="inlineStr">
        <is>
          <t>유구읍</t>
        </is>
      </c>
    </row>
    <row r="9601">
      <c r="A9601" s="3" t="n">
        <v>2022</v>
      </c>
      <c r="B9601" s="4" t="n">
        <v>4900</v>
      </c>
      <c r="C9601" s="4" t="n">
        <v>1017</v>
      </c>
      <c r="D9601" s="4" t="n">
        <v>307.6425</v>
      </c>
      <c r="E9601" s="5" t="n">
        <v>15.9</v>
      </c>
      <c r="F9601" s="3" t="inlineStr">
        <is>
          <t>유구읍</t>
        </is>
      </c>
      <c r="G9601" s="3" t="inlineStr">
        <is>
          <t>녹천리</t>
        </is>
      </c>
      <c r="H9601" s="3" t="inlineStr">
        <is>
          <t>계획관리지역</t>
        </is>
      </c>
      <c r="I9601" s="3" t="inlineStr">
        <is>
          <t>전</t>
        </is>
      </c>
      <c r="J9601" s="3" t="inlineStr">
        <is>
          <t>유구읍</t>
        </is>
      </c>
    </row>
    <row r="9602">
      <c r="A9602" s="3" t="n">
        <v>2022</v>
      </c>
      <c r="B9602" s="4" t="n">
        <v>3000</v>
      </c>
      <c r="C9602" s="4" t="n">
        <v>667</v>
      </c>
      <c r="D9602" s="4" t="n">
        <v>201.7675</v>
      </c>
      <c r="E9602" s="5" t="n">
        <v>14.9</v>
      </c>
      <c r="F9602" s="3" t="inlineStr">
        <is>
          <t>유구읍</t>
        </is>
      </c>
      <c r="G9602" s="3" t="inlineStr">
        <is>
          <t>신영리</t>
        </is>
      </c>
      <c r="H9602" s="3" t="inlineStr">
        <is>
          <t>보전관리지역</t>
        </is>
      </c>
      <c r="I9602" s="3" t="inlineStr">
        <is>
          <t>전</t>
        </is>
      </c>
      <c r="J9602" s="3" t="inlineStr">
        <is>
          <t>유구읍</t>
        </is>
      </c>
    </row>
    <row r="9603">
      <c r="A9603" s="3" t="n">
        <v>2023</v>
      </c>
      <c r="B9603" s="4" t="n">
        <v>45000</v>
      </c>
      <c r="C9603" s="4" t="n">
        <v>62843</v>
      </c>
      <c r="D9603" s="4" t="n">
        <v>19010.0075</v>
      </c>
      <c r="E9603" s="5" t="n">
        <v>2.4</v>
      </c>
      <c r="F9603" s="3" t="inlineStr">
        <is>
          <t>유구읍</t>
        </is>
      </c>
      <c r="G9603" s="3" t="inlineStr">
        <is>
          <t>유구리</t>
        </is>
      </c>
      <c r="H9603" s="3" t="inlineStr">
        <is>
          <t>계획관리지역</t>
        </is>
      </c>
      <c r="I9603" s="3" t="inlineStr">
        <is>
          <t>임야</t>
        </is>
      </c>
      <c r="J9603" s="3" t="inlineStr">
        <is>
          <t>유구읍</t>
        </is>
      </c>
    </row>
    <row r="9604">
      <c r="A9604" s="3" t="n">
        <v>2023</v>
      </c>
      <c r="B9604" s="4" t="n">
        <v>300</v>
      </c>
      <c r="C9604" s="4" t="n">
        <v>39</v>
      </c>
      <c r="D9604" s="4" t="n">
        <v>11.7975</v>
      </c>
      <c r="E9604" s="5" t="n">
        <v>25.4</v>
      </c>
      <c r="F9604" s="3" t="inlineStr">
        <is>
          <t>유구읍</t>
        </is>
      </c>
      <c r="G9604" s="3" t="inlineStr">
        <is>
          <t>석남리</t>
        </is>
      </c>
      <c r="H9604" s="3" t="inlineStr">
        <is>
          <t>계획관리지역</t>
        </is>
      </c>
      <c r="I9604" s="3" t="inlineStr">
        <is>
          <t>답</t>
        </is>
      </c>
      <c r="J9604" s="3" t="inlineStr">
        <is>
          <t>유구읍</t>
        </is>
      </c>
    </row>
    <row r="9605">
      <c r="A9605" s="3" t="n">
        <v>2023</v>
      </c>
      <c r="B9605" s="4" t="n">
        <v>50</v>
      </c>
      <c r="C9605" s="4" t="n">
        <v>7</v>
      </c>
      <c r="D9605" s="4" t="n">
        <v>2.1175</v>
      </c>
      <c r="E9605" s="5" t="n">
        <v>23.6</v>
      </c>
      <c r="F9605" s="3" t="inlineStr">
        <is>
          <t>유구읍</t>
        </is>
      </c>
      <c r="G9605" s="3" t="inlineStr">
        <is>
          <t>석남리</t>
        </is>
      </c>
      <c r="H9605" s="3" t="inlineStr">
        <is>
          <t>계획관리지역</t>
        </is>
      </c>
      <c r="I9605" s="3" t="inlineStr">
        <is>
          <t>답</t>
        </is>
      </c>
      <c r="J9605" s="3" t="inlineStr">
        <is>
          <t>유구읍</t>
        </is>
      </c>
    </row>
    <row r="9606">
      <c r="A9606" s="3" t="n">
        <v>2023</v>
      </c>
      <c r="B9606" s="4" t="n">
        <v>100</v>
      </c>
      <c r="C9606" s="4" t="n">
        <v>42</v>
      </c>
      <c r="D9606" s="4" t="n">
        <v>12.705</v>
      </c>
      <c r="E9606" s="5" t="n">
        <v>7.9</v>
      </c>
      <c r="F9606" s="3" t="inlineStr">
        <is>
          <t>유구읍</t>
        </is>
      </c>
      <c r="G9606" s="3" t="inlineStr">
        <is>
          <t>연종리</t>
        </is>
      </c>
      <c r="H9606" s="3" t="inlineStr">
        <is>
          <t>농림지역</t>
        </is>
      </c>
      <c r="I9606" s="3" t="inlineStr">
        <is>
          <t>도로</t>
        </is>
      </c>
      <c r="J9606" s="3" t="inlineStr">
        <is>
          <t>유구읍</t>
        </is>
      </c>
    </row>
    <row r="9607">
      <c r="A9607" s="3" t="n">
        <v>2023</v>
      </c>
      <c r="B9607" s="4" t="n">
        <v>4000</v>
      </c>
      <c r="C9607" s="4" t="n">
        <v>541</v>
      </c>
      <c r="D9607" s="4" t="n">
        <v>163.6525</v>
      </c>
      <c r="E9607" s="5" t="n">
        <v>24.4</v>
      </c>
      <c r="F9607" s="3" t="inlineStr">
        <is>
          <t>유구읍</t>
        </is>
      </c>
      <c r="G9607" s="3" t="inlineStr">
        <is>
          <t>문금리</t>
        </is>
      </c>
      <c r="H9607" s="3" t="inlineStr">
        <is>
          <t>계획관리지역</t>
        </is>
      </c>
      <c r="I9607" s="3" t="inlineStr">
        <is>
          <t>답</t>
        </is>
      </c>
      <c r="J9607" s="3" t="inlineStr">
        <is>
          <t>유구읍</t>
        </is>
      </c>
    </row>
    <row r="9608">
      <c r="A9608" s="3" t="n">
        <v>2023</v>
      </c>
      <c r="B9608" s="4" t="n">
        <v>4500</v>
      </c>
      <c r="C9608" s="4" t="n">
        <v>613</v>
      </c>
      <c r="D9608" s="4" t="n">
        <v>185.4325</v>
      </c>
      <c r="E9608" s="5" t="n">
        <v>24.3</v>
      </c>
      <c r="F9608" s="3" t="inlineStr">
        <is>
          <t>유구읍</t>
        </is>
      </c>
      <c r="G9608" s="3" t="inlineStr">
        <is>
          <t>문금리</t>
        </is>
      </c>
      <c r="H9608" s="3" t="inlineStr">
        <is>
          <t>계획관리지역</t>
        </is>
      </c>
      <c r="I9608" s="3" t="inlineStr">
        <is>
          <t>답</t>
        </is>
      </c>
      <c r="J9608" s="3" t="inlineStr">
        <is>
          <t>유구읍</t>
        </is>
      </c>
    </row>
    <row r="9609">
      <c r="A9609" s="3" t="n">
        <v>2023</v>
      </c>
      <c r="B9609" s="4" t="n">
        <v>6400</v>
      </c>
      <c r="C9609" s="4" t="n">
        <v>857</v>
      </c>
      <c r="D9609" s="4" t="n">
        <v>259.2425</v>
      </c>
      <c r="E9609" s="5" t="n">
        <v>24.7</v>
      </c>
      <c r="F9609" s="3" t="inlineStr">
        <is>
          <t>유구읍</t>
        </is>
      </c>
      <c r="G9609" s="3" t="inlineStr">
        <is>
          <t>문금리</t>
        </is>
      </c>
      <c r="H9609" s="3" t="inlineStr">
        <is>
          <t>계획관리지역</t>
        </is>
      </c>
      <c r="I9609" s="3" t="inlineStr">
        <is>
          <t>답</t>
        </is>
      </c>
      <c r="J9609" s="3" t="inlineStr">
        <is>
          <t>유구읍</t>
        </is>
      </c>
    </row>
    <row r="9610">
      <c r="A9610" s="3" t="n">
        <v>2023</v>
      </c>
      <c r="B9610" s="4" t="n">
        <v>4500</v>
      </c>
      <c r="C9610" s="4" t="n">
        <v>2780</v>
      </c>
      <c r="D9610" s="4" t="n">
        <v>840.9499999999999</v>
      </c>
      <c r="E9610" s="5" t="n">
        <v>5.4</v>
      </c>
      <c r="F9610" s="3" t="inlineStr">
        <is>
          <t>유구읍</t>
        </is>
      </c>
      <c r="G9610" s="3" t="inlineStr">
        <is>
          <t>문금리</t>
        </is>
      </c>
      <c r="H9610" s="3" t="inlineStr">
        <is>
          <t>계획관리지역</t>
        </is>
      </c>
      <c r="I9610" s="3" t="inlineStr">
        <is>
          <t>전</t>
        </is>
      </c>
      <c r="J9610" s="3" t="inlineStr">
        <is>
          <t>유구읍</t>
        </is>
      </c>
    </row>
    <row r="9611">
      <c r="A9611" s="3" t="n">
        <v>2023</v>
      </c>
      <c r="B9611" s="4" t="n">
        <v>9000</v>
      </c>
      <c r="C9611" s="4" t="n">
        <v>1173</v>
      </c>
      <c r="D9611" s="4" t="n">
        <v>354.8325</v>
      </c>
      <c r="E9611" s="5" t="n">
        <v>25.4</v>
      </c>
      <c r="F9611" s="3" t="inlineStr">
        <is>
          <t>유구읍</t>
        </is>
      </c>
      <c r="G9611" s="3" t="inlineStr">
        <is>
          <t>문금리</t>
        </is>
      </c>
      <c r="H9611" s="3" t="inlineStr">
        <is>
          <t>계획관리지역</t>
        </is>
      </c>
      <c r="I9611" s="3" t="inlineStr">
        <is>
          <t>전</t>
        </is>
      </c>
      <c r="J9611" s="3" t="inlineStr">
        <is>
          <t>유구읍</t>
        </is>
      </c>
    </row>
    <row r="9612">
      <c r="A9612" s="3" t="n">
        <v>2023</v>
      </c>
      <c r="B9612" s="4" t="n">
        <v>1665</v>
      </c>
      <c r="C9612" s="4" t="n">
        <v>369</v>
      </c>
      <c r="D9612" s="4" t="n">
        <v>111.6225</v>
      </c>
      <c r="E9612" s="5" t="n">
        <v>14.9</v>
      </c>
      <c r="F9612" s="3" t="inlineStr">
        <is>
          <t>유구읍</t>
        </is>
      </c>
      <c r="G9612" s="3" t="inlineStr">
        <is>
          <t>신영리</t>
        </is>
      </c>
      <c r="H9612" s="3" t="inlineStr">
        <is>
          <t>보전관리지역</t>
        </is>
      </c>
      <c r="I9612" s="3" t="inlineStr">
        <is>
          <t>임야</t>
        </is>
      </c>
      <c r="J9612" s="3" t="inlineStr">
        <is>
          <t>유구읍</t>
        </is>
      </c>
    </row>
    <row r="9613">
      <c r="A9613" s="3" t="n">
        <v>2023</v>
      </c>
      <c r="B9613" s="4" t="n">
        <v>10104</v>
      </c>
      <c r="C9613" s="4" t="n">
        <v>1666</v>
      </c>
      <c r="D9613" s="4" t="n">
        <v>503.965</v>
      </c>
      <c r="E9613" s="5" t="n">
        <v>20</v>
      </c>
      <c r="F9613" s="3" t="inlineStr">
        <is>
          <t>유구읍</t>
        </is>
      </c>
      <c r="G9613" s="3" t="inlineStr">
        <is>
          <t>유구리</t>
        </is>
      </c>
      <c r="H9613" s="3" t="inlineStr">
        <is>
          <t>계획관리지역</t>
        </is>
      </c>
      <c r="I9613" s="3" t="inlineStr">
        <is>
          <t>전</t>
        </is>
      </c>
      <c r="J9613" s="3" t="inlineStr">
        <is>
          <t>유구읍</t>
        </is>
      </c>
    </row>
    <row r="9614">
      <c r="A9614" s="3" t="n">
        <v>2023</v>
      </c>
      <c r="B9614" s="4" t="n">
        <v>10369</v>
      </c>
      <c r="C9614" s="4" t="n">
        <v>1537</v>
      </c>
      <c r="D9614" s="4" t="n">
        <v>464.9425</v>
      </c>
      <c r="E9614" s="5" t="n">
        <v>22.3</v>
      </c>
      <c r="F9614" s="3" t="inlineStr">
        <is>
          <t>유구읍</t>
        </is>
      </c>
      <c r="G9614" s="3" t="inlineStr">
        <is>
          <t>유구리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유구읍</t>
        </is>
      </c>
    </row>
    <row r="9615">
      <c r="A9615" s="3" t="n">
        <v>2023</v>
      </c>
      <c r="B9615" s="4" t="n">
        <v>12432</v>
      </c>
      <c r="C9615" s="4" t="n">
        <v>1825</v>
      </c>
      <c r="D9615" s="4" t="n">
        <v>552.0625</v>
      </c>
      <c r="E9615" s="5" t="n">
        <v>22.5</v>
      </c>
      <c r="F9615" s="3" t="inlineStr">
        <is>
          <t>유구읍</t>
        </is>
      </c>
      <c r="G9615" s="3" t="inlineStr">
        <is>
          <t>유구리</t>
        </is>
      </c>
      <c r="H9615" s="3" t="inlineStr">
        <is>
          <t>계획관리지역</t>
        </is>
      </c>
      <c r="I9615" s="3" t="inlineStr">
        <is>
          <t>전</t>
        </is>
      </c>
      <c r="J9615" s="3" t="inlineStr">
        <is>
          <t>유구읍</t>
        </is>
      </c>
    </row>
    <row r="9616">
      <c r="A9616" s="3" t="n">
        <v>2023</v>
      </c>
      <c r="B9616" s="4" t="n">
        <v>4755</v>
      </c>
      <c r="C9616" s="4" t="n">
        <v>784</v>
      </c>
      <c r="D9616" s="4" t="n">
        <v>237.16</v>
      </c>
      <c r="E9616" s="5" t="n">
        <v>20</v>
      </c>
      <c r="F9616" s="3" t="inlineStr">
        <is>
          <t>유구읍</t>
        </is>
      </c>
      <c r="G9616" s="3" t="inlineStr">
        <is>
          <t>유구리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유구읍</t>
        </is>
      </c>
    </row>
    <row r="9617">
      <c r="A9617" s="3" t="n">
        <v>2023</v>
      </c>
      <c r="B9617" s="4" t="n">
        <v>340</v>
      </c>
      <c r="C9617" s="4" t="n">
        <v>56</v>
      </c>
      <c r="D9617" s="4" t="n">
        <v>16.94</v>
      </c>
      <c r="E9617" s="5" t="n">
        <v>20.1</v>
      </c>
      <c r="F9617" s="3" t="inlineStr">
        <is>
          <t>유구읍</t>
        </is>
      </c>
      <c r="G9617" s="3" t="inlineStr">
        <is>
          <t>유구리</t>
        </is>
      </c>
      <c r="H9617" s="3" t="inlineStr">
        <is>
          <t>계획관리지역</t>
        </is>
      </c>
      <c r="I9617" s="3" t="inlineStr">
        <is>
          <t>답</t>
        </is>
      </c>
      <c r="J9617" s="3" t="inlineStr">
        <is>
          <t>유구읍</t>
        </is>
      </c>
    </row>
    <row r="9618">
      <c r="A9618" s="3" t="n">
        <v>2023</v>
      </c>
      <c r="B9618" s="4" t="n">
        <v>12300</v>
      </c>
      <c r="C9618" s="4" t="n">
        <v>1379</v>
      </c>
      <c r="D9618" s="4" t="n">
        <v>417.1475</v>
      </c>
      <c r="E9618" s="5" t="n">
        <v>29.5</v>
      </c>
      <c r="F9618" s="3" t="inlineStr">
        <is>
          <t>유구읍</t>
        </is>
      </c>
      <c r="G9618" s="3" t="inlineStr">
        <is>
          <t>석남리</t>
        </is>
      </c>
      <c r="H9618" s="3" t="inlineStr">
        <is>
          <t>자연녹지지역</t>
        </is>
      </c>
      <c r="I9618" s="3" t="inlineStr">
        <is>
          <t>전</t>
        </is>
      </c>
      <c r="J9618" s="3" t="inlineStr">
        <is>
          <t>유구읍</t>
        </is>
      </c>
    </row>
    <row r="9619">
      <c r="A9619" s="3" t="n">
        <v>2023</v>
      </c>
      <c r="B9619" s="4" t="n">
        <v>1644</v>
      </c>
      <c r="C9619" s="4" t="n">
        <v>360</v>
      </c>
      <c r="D9619" s="4" t="n">
        <v>108.9</v>
      </c>
      <c r="E9619" s="5" t="n">
        <v>15.1</v>
      </c>
      <c r="F9619" s="3" t="inlineStr">
        <is>
          <t>유구읍</t>
        </is>
      </c>
      <c r="G9619" s="3" t="inlineStr">
        <is>
          <t>녹천리</t>
        </is>
      </c>
      <c r="H9619" s="3" t="inlineStr">
        <is>
          <t>계획관리지역</t>
        </is>
      </c>
      <c r="I9619" s="3" t="inlineStr">
        <is>
          <t>전</t>
        </is>
      </c>
      <c r="J9619" s="3" t="inlineStr">
        <is>
          <t>유구읍</t>
        </is>
      </c>
    </row>
    <row r="9620">
      <c r="A9620" s="3" t="n">
        <v>2023</v>
      </c>
      <c r="B9620" s="4" t="n">
        <v>3683</v>
      </c>
      <c r="C9620" s="4" t="n">
        <v>807</v>
      </c>
      <c r="D9620" s="4" t="n">
        <v>244.1175</v>
      </c>
      <c r="E9620" s="5" t="n">
        <v>15.1</v>
      </c>
      <c r="F9620" s="3" t="inlineStr">
        <is>
          <t>유구읍</t>
        </is>
      </c>
      <c r="G9620" s="3" t="inlineStr">
        <is>
          <t>녹천리</t>
        </is>
      </c>
      <c r="H9620" s="3" t="inlineStr">
        <is>
          <t>계획관리지역</t>
        </is>
      </c>
      <c r="I9620" s="3" t="inlineStr">
        <is>
          <t>전</t>
        </is>
      </c>
      <c r="J9620" s="3" t="inlineStr">
        <is>
          <t>유구읍</t>
        </is>
      </c>
    </row>
    <row r="9621">
      <c r="A9621" s="3" t="n">
        <v>2023</v>
      </c>
      <c r="B9621" s="4" t="n">
        <v>782</v>
      </c>
      <c r="C9621" s="4" t="n">
        <v>165</v>
      </c>
      <c r="D9621" s="4" t="n">
        <v>49.9125</v>
      </c>
      <c r="E9621" s="5" t="n">
        <v>15.7</v>
      </c>
      <c r="F9621" s="3" t="inlineStr">
        <is>
          <t>유구읍</t>
        </is>
      </c>
      <c r="G9621" s="3" t="inlineStr">
        <is>
          <t>녹천리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유구읍</t>
        </is>
      </c>
    </row>
    <row r="9622">
      <c r="A9622" s="3" t="n">
        <v>2023</v>
      </c>
      <c r="B9622" s="4" t="n">
        <v>680</v>
      </c>
      <c r="C9622" s="4" t="n">
        <v>207</v>
      </c>
      <c r="D9622" s="4" t="n">
        <v>62.6175</v>
      </c>
      <c r="E9622" s="5" t="n">
        <v>10.9</v>
      </c>
      <c r="F9622" s="3" t="inlineStr">
        <is>
          <t>유구읍</t>
        </is>
      </c>
      <c r="G9622" s="3" t="inlineStr">
        <is>
          <t>녹천리</t>
        </is>
      </c>
      <c r="H9622" s="3" t="inlineStr">
        <is>
          <t>계획관리지역</t>
        </is>
      </c>
      <c r="I9622" s="3" t="inlineStr">
        <is>
          <t>임야</t>
        </is>
      </c>
      <c r="J9622" s="3" t="inlineStr">
        <is>
          <t>유구읍</t>
        </is>
      </c>
    </row>
    <row r="9623">
      <c r="A9623" s="3" t="n">
        <v>2023</v>
      </c>
      <c r="B9623" s="4" t="n">
        <v>110</v>
      </c>
      <c r="C9623" s="4" t="n">
        <v>27</v>
      </c>
      <c r="D9623" s="4" t="n">
        <v>8.1675</v>
      </c>
      <c r="E9623" s="5" t="n">
        <v>13.5</v>
      </c>
      <c r="F9623" s="3" t="inlineStr">
        <is>
          <t>유구읍</t>
        </is>
      </c>
      <c r="G9623" s="3" t="inlineStr">
        <is>
          <t>녹천리</t>
        </is>
      </c>
      <c r="H9623" s="3" t="inlineStr">
        <is>
          <t>계획관리지역</t>
        </is>
      </c>
      <c r="I9623" s="3" t="inlineStr">
        <is>
          <t>임야</t>
        </is>
      </c>
      <c r="J9623" s="3" t="inlineStr">
        <is>
          <t>유구읍</t>
        </is>
      </c>
    </row>
    <row r="9624">
      <c r="A9624" s="3" t="n">
        <v>2023</v>
      </c>
      <c r="B9624" s="4" t="n">
        <v>3600</v>
      </c>
      <c r="C9624" s="4" t="n">
        <v>2977</v>
      </c>
      <c r="D9624" s="4" t="n">
        <v>900.5425</v>
      </c>
      <c r="E9624" s="5" t="n">
        <v>4</v>
      </c>
      <c r="F9624" s="3" t="inlineStr">
        <is>
          <t>유구읍</t>
        </is>
      </c>
      <c r="G9624" s="3" t="inlineStr">
        <is>
          <t>녹천리</t>
        </is>
      </c>
      <c r="H9624" s="3" t="inlineStr">
        <is>
          <t>농림지역</t>
        </is>
      </c>
      <c r="I9624" s="3" t="inlineStr">
        <is>
          <t>임야</t>
        </is>
      </c>
      <c r="J9624" s="3" t="inlineStr">
        <is>
          <t>유구읍</t>
        </is>
      </c>
    </row>
    <row r="9625">
      <c r="A9625" s="3" t="n">
        <v>2023</v>
      </c>
      <c r="B9625" s="4" t="n">
        <v>375</v>
      </c>
      <c r="C9625" s="4" t="n">
        <v>246</v>
      </c>
      <c r="D9625" s="4" t="n">
        <v>74.41499999999999</v>
      </c>
      <c r="E9625" s="5" t="n">
        <v>5</v>
      </c>
      <c r="F9625" s="3" t="inlineStr">
        <is>
          <t>유구읍</t>
        </is>
      </c>
      <c r="G9625" s="3" t="inlineStr">
        <is>
          <t>덕곡리</t>
        </is>
      </c>
      <c r="H9625" s="3" t="inlineStr">
        <is>
          <t>생산관리지역</t>
        </is>
      </c>
      <c r="I9625" s="3" t="inlineStr">
        <is>
          <t>전</t>
        </is>
      </c>
      <c r="J9625" s="3" t="inlineStr">
        <is>
          <t>유구읍</t>
        </is>
      </c>
    </row>
    <row r="9626">
      <c r="A9626" s="3" t="n">
        <v>2023</v>
      </c>
      <c r="B9626" s="4" t="n">
        <v>9000</v>
      </c>
      <c r="C9626" s="4" t="n">
        <v>721</v>
      </c>
      <c r="D9626" s="4" t="n">
        <v>218.1025</v>
      </c>
      <c r="E9626" s="5" t="n">
        <v>41.3</v>
      </c>
      <c r="F9626" s="3" t="inlineStr">
        <is>
          <t>유구읍</t>
        </is>
      </c>
      <c r="G9626" s="3" t="inlineStr">
        <is>
          <t>석남리</t>
        </is>
      </c>
      <c r="H9626" s="3" t="inlineStr">
        <is>
          <t>제2종일반주거지역</t>
        </is>
      </c>
      <c r="I9626" s="3" t="inlineStr">
        <is>
          <t>전</t>
        </is>
      </c>
      <c r="J9626" s="3" t="inlineStr">
        <is>
          <t>유구읍</t>
        </is>
      </c>
    </row>
    <row r="9627">
      <c r="A9627" s="3" t="n">
        <v>2023</v>
      </c>
      <c r="B9627" s="4" t="n">
        <v>5000</v>
      </c>
      <c r="C9627" s="4" t="n">
        <v>826</v>
      </c>
      <c r="D9627" s="4" t="n">
        <v>249.865</v>
      </c>
      <c r="E9627" s="5" t="n">
        <v>20</v>
      </c>
      <c r="F9627" s="3" t="inlineStr">
        <is>
          <t>유구읍</t>
        </is>
      </c>
      <c r="G9627" s="3" t="inlineStr">
        <is>
          <t>명곡리</t>
        </is>
      </c>
      <c r="H9627" s="3" t="inlineStr">
        <is>
          <t>계획관리지역</t>
        </is>
      </c>
      <c r="I9627" s="3" t="inlineStr">
        <is>
          <t>대</t>
        </is>
      </c>
      <c r="J9627" s="3" t="inlineStr">
        <is>
          <t>유구읍</t>
        </is>
      </c>
    </row>
    <row r="9628">
      <c r="A9628" s="3" t="n">
        <v>2022</v>
      </c>
      <c r="B9628" s="4" t="n">
        <v>30250</v>
      </c>
      <c r="C9628" s="4" t="n">
        <v>15074</v>
      </c>
      <c r="D9628" s="4" t="n">
        <v>4559.885</v>
      </c>
      <c r="E9628" s="5" t="n">
        <v>6.6</v>
      </c>
      <c r="F9628" s="3" t="inlineStr">
        <is>
          <t>유구읍</t>
        </is>
      </c>
      <c r="G9628" s="3" t="inlineStr">
        <is>
          <t>동해리</t>
        </is>
      </c>
      <c r="H9628" s="3" t="inlineStr">
        <is>
          <t>계획관리지역</t>
        </is>
      </c>
      <c r="I9628" s="3" t="inlineStr">
        <is>
          <t>임야</t>
        </is>
      </c>
      <c r="J9628" s="3" t="inlineStr">
        <is>
          <t>유구읍</t>
        </is>
      </c>
    </row>
    <row r="9629">
      <c r="A9629" s="3" t="n">
        <v>2026</v>
      </c>
      <c r="B9629" s="4" t="n">
        <v>1383</v>
      </c>
      <c r="C9629" s="4" t="n">
        <v>519</v>
      </c>
      <c r="D9629" s="4" t="n">
        <v>156.9975</v>
      </c>
      <c r="E9629" s="5" t="n">
        <v>8.800000000000001</v>
      </c>
      <c r="F9629" s="3" t="inlineStr">
        <is>
          <t>유구읍</t>
        </is>
      </c>
      <c r="G9629" s="3" t="inlineStr">
        <is>
          <t>탑곡리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유구읍</t>
        </is>
      </c>
    </row>
    <row r="9630">
      <c r="A9630" s="3" t="n">
        <v>2026</v>
      </c>
      <c r="B9630" s="4" t="n">
        <v>1117</v>
      </c>
      <c r="C9630" s="4" t="n">
        <v>481</v>
      </c>
      <c r="D9630" s="4" t="n">
        <v>145.5025</v>
      </c>
      <c r="E9630" s="5" t="n">
        <v>7.7</v>
      </c>
      <c r="F9630" s="3" t="inlineStr">
        <is>
          <t>유구읍</t>
        </is>
      </c>
      <c r="G9630" s="3" t="inlineStr">
        <is>
          <t>탑곡리</t>
        </is>
      </c>
      <c r="H9630" s="3" t="inlineStr">
        <is>
          <t>계획관리지역</t>
        </is>
      </c>
      <c r="I9630" s="3" t="inlineStr">
        <is>
          <t>전</t>
        </is>
      </c>
      <c r="J9630" s="3" t="inlineStr">
        <is>
          <t>유구읍</t>
        </is>
      </c>
    </row>
    <row r="9631">
      <c r="A9631" s="3" t="n">
        <v>2023</v>
      </c>
      <c r="B9631" s="4" t="n">
        <v>8090</v>
      </c>
      <c r="C9631" s="4" t="n">
        <v>982</v>
      </c>
      <c r="D9631" s="4" t="n">
        <v>297.055</v>
      </c>
      <c r="E9631" s="5" t="n">
        <v>27.2</v>
      </c>
      <c r="F9631" s="3" t="inlineStr">
        <is>
          <t>유구읍</t>
        </is>
      </c>
      <c r="G9631" s="3" t="inlineStr">
        <is>
          <t>입석리</t>
        </is>
      </c>
      <c r="H9631" s="3" t="inlineStr">
        <is>
          <t>보전관리지역</t>
        </is>
      </c>
      <c r="I9631" s="3" t="inlineStr">
        <is>
          <t>전</t>
        </is>
      </c>
      <c r="J9631" s="3" t="inlineStr">
        <is>
          <t>유구읍</t>
        </is>
      </c>
    </row>
    <row r="9632">
      <c r="A9632" s="3" t="n">
        <v>2023</v>
      </c>
      <c r="B9632" s="4" t="n">
        <v>3910</v>
      </c>
      <c r="C9632" s="4" t="n">
        <v>618</v>
      </c>
      <c r="D9632" s="4" t="n">
        <v>186.945</v>
      </c>
      <c r="E9632" s="5" t="n">
        <v>20.9</v>
      </c>
      <c r="F9632" s="3" t="inlineStr">
        <is>
          <t>유구읍</t>
        </is>
      </c>
      <c r="G9632" s="3" t="inlineStr">
        <is>
          <t>입석리</t>
        </is>
      </c>
      <c r="H9632" s="3" t="inlineStr">
        <is>
          <t>보전관리지역</t>
        </is>
      </c>
      <c r="I9632" s="3" t="inlineStr">
        <is>
          <t>전</t>
        </is>
      </c>
      <c r="J9632" s="3" t="inlineStr">
        <is>
          <t>유구읍</t>
        </is>
      </c>
    </row>
    <row r="9633">
      <c r="A9633" s="3" t="n">
        <v>2023</v>
      </c>
      <c r="B9633" s="4" t="n">
        <v>3280</v>
      </c>
      <c r="C9633" s="4" t="n">
        <v>466</v>
      </c>
      <c r="D9633" s="4" t="n">
        <v>140.965</v>
      </c>
      <c r="E9633" s="5" t="n">
        <v>23.3</v>
      </c>
      <c r="F9633" s="3" t="inlineStr">
        <is>
          <t>유구읍</t>
        </is>
      </c>
      <c r="G9633" s="3" t="inlineStr">
        <is>
          <t>입석리</t>
        </is>
      </c>
      <c r="H9633" s="3" t="inlineStr">
        <is>
          <t>보전관리지역</t>
        </is>
      </c>
      <c r="I9633" s="3" t="inlineStr">
        <is>
          <t>전</t>
        </is>
      </c>
      <c r="J9633" s="3" t="inlineStr">
        <is>
          <t>유구읍</t>
        </is>
      </c>
    </row>
    <row r="9634">
      <c r="A9634" s="3" t="n">
        <v>2023</v>
      </c>
      <c r="B9634" s="4" t="n">
        <v>6720</v>
      </c>
      <c r="C9634" s="4" t="n">
        <v>952</v>
      </c>
      <c r="D9634" s="4" t="n">
        <v>287.98</v>
      </c>
      <c r="E9634" s="5" t="n">
        <v>23.3</v>
      </c>
      <c r="F9634" s="3" t="inlineStr">
        <is>
          <t>유구읍</t>
        </is>
      </c>
      <c r="G9634" s="3" t="inlineStr">
        <is>
          <t>입석리</t>
        </is>
      </c>
      <c r="H9634" s="3" t="inlineStr">
        <is>
          <t>보전관리지역</t>
        </is>
      </c>
      <c r="I9634" s="3" t="inlineStr">
        <is>
          <t>전</t>
        </is>
      </c>
      <c r="J9634" s="3" t="inlineStr">
        <is>
          <t>유구읍</t>
        </is>
      </c>
    </row>
    <row r="9635">
      <c r="A9635" s="3" t="n">
        <v>2023</v>
      </c>
      <c r="B9635" s="4" t="n">
        <v>3500</v>
      </c>
      <c r="C9635" s="4" t="n">
        <v>1164</v>
      </c>
      <c r="D9635" s="4" t="n">
        <v>352.11</v>
      </c>
      <c r="E9635" s="5" t="n">
        <v>9.9</v>
      </c>
      <c r="F9635" s="3" t="inlineStr">
        <is>
          <t>유구읍</t>
        </is>
      </c>
      <c r="G9635" s="3" t="inlineStr">
        <is>
          <t>문금리</t>
        </is>
      </c>
      <c r="H9635" s="3" t="inlineStr">
        <is>
          <t>보전관리지역</t>
        </is>
      </c>
      <c r="I9635" s="3" t="inlineStr">
        <is>
          <t>전</t>
        </is>
      </c>
      <c r="J9635" s="3" t="inlineStr">
        <is>
          <t>유구읍</t>
        </is>
      </c>
    </row>
    <row r="9636">
      <c r="A9636" s="3" t="n">
        <v>2023</v>
      </c>
      <c r="B9636" s="4" t="n">
        <v>3071</v>
      </c>
      <c r="C9636" s="4" t="n">
        <v>11718</v>
      </c>
      <c r="D9636" s="4" t="n">
        <v>3544.695</v>
      </c>
      <c r="E9636" s="5" t="n">
        <v>0.9</v>
      </c>
      <c r="F9636" s="3" t="inlineStr">
        <is>
          <t>유구읍</t>
        </is>
      </c>
      <c r="G9636" s="3" t="inlineStr">
        <is>
          <t>입석리</t>
        </is>
      </c>
      <c r="H9636" s="3" t="inlineStr">
        <is>
          <t>농림지역</t>
        </is>
      </c>
      <c r="I9636" s="3" t="inlineStr">
        <is>
          <t>임야</t>
        </is>
      </c>
      <c r="J9636" s="3" t="inlineStr">
        <is>
          <t>유구읍</t>
        </is>
      </c>
    </row>
    <row r="9637">
      <c r="A9637" s="3" t="n">
        <v>2023</v>
      </c>
      <c r="B9637" s="4" t="n">
        <v>3624</v>
      </c>
      <c r="C9637" s="4" t="n">
        <v>13223</v>
      </c>
      <c r="D9637" s="4" t="n">
        <v>3999.9575</v>
      </c>
      <c r="E9637" s="5" t="n">
        <v>0.9</v>
      </c>
      <c r="F9637" s="3" t="inlineStr">
        <is>
          <t>유구읍</t>
        </is>
      </c>
      <c r="G9637" s="3" t="inlineStr">
        <is>
          <t>입석리</t>
        </is>
      </c>
      <c r="H9637" s="3" t="inlineStr">
        <is>
          <t>농림지역</t>
        </is>
      </c>
      <c r="I9637" s="3" t="inlineStr">
        <is>
          <t>임야</t>
        </is>
      </c>
      <c r="J9637" s="3" t="inlineStr">
        <is>
          <t>유구읍</t>
        </is>
      </c>
    </row>
    <row r="9638">
      <c r="A9638" s="3" t="n">
        <v>2023</v>
      </c>
      <c r="B9638" s="4" t="n">
        <v>1500</v>
      </c>
      <c r="C9638" s="4" t="n">
        <v>440</v>
      </c>
      <c r="D9638" s="4" t="n">
        <v>133.1</v>
      </c>
      <c r="E9638" s="5" t="n">
        <v>11.3</v>
      </c>
      <c r="F9638" s="3" t="inlineStr">
        <is>
          <t>유구읍</t>
        </is>
      </c>
      <c r="G9638" s="3" t="inlineStr">
        <is>
          <t>탑곡리</t>
        </is>
      </c>
      <c r="H9638" s="3" t="inlineStr">
        <is>
          <t>계획관리지역</t>
        </is>
      </c>
      <c r="I9638" s="3" t="inlineStr">
        <is>
          <t>전</t>
        </is>
      </c>
      <c r="J9638" s="3" t="inlineStr">
        <is>
          <t>유구읍</t>
        </is>
      </c>
    </row>
    <row r="9639">
      <c r="A9639" s="3" t="n">
        <v>2023</v>
      </c>
      <c r="B9639" s="4" t="n">
        <v>700</v>
      </c>
      <c r="C9639" s="4" t="n">
        <v>714</v>
      </c>
      <c r="D9639" s="4" t="n">
        <v>215.985</v>
      </c>
      <c r="E9639" s="5" t="n">
        <v>3.2</v>
      </c>
      <c r="F9639" s="3" t="inlineStr">
        <is>
          <t>유구읍</t>
        </is>
      </c>
      <c r="G9639" s="3" t="inlineStr">
        <is>
          <t>추계리</t>
        </is>
      </c>
      <c r="H9639" s="3" t="inlineStr">
        <is>
          <t>농림지역</t>
        </is>
      </c>
      <c r="I9639" s="3" t="inlineStr">
        <is>
          <t>임야</t>
        </is>
      </c>
      <c r="J9639" s="3" t="inlineStr">
        <is>
          <t>유구읍</t>
        </is>
      </c>
    </row>
    <row r="9640">
      <c r="A9640" s="3" t="n">
        <v>2023</v>
      </c>
      <c r="B9640" s="4" t="n">
        <v>1300</v>
      </c>
      <c r="C9640" s="4" t="n">
        <v>218</v>
      </c>
      <c r="D9640" s="4" t="n">
        <v>65.94499999999999</v>
      </c>
      <c r="E9640" s="5" t="n">
        <v>19.7</v>
      </c>
      <c r="F9640" s="3" t="inlineStr">
        <is>
          <t>유구읍</t>
        </is>
      </c>
      <c r="G9640" s="3" t="inlineStr">
        <is>
          <t>신달리</t>
        </is>
      </c>
      <c r="H9640" s="3" t="inlineStr">
        <is>
          <t>계획관리지역</t>
        </is>
      </c>
      <c r="I9640" s="3" t="inlineStr">
        <is>
          <t>대</t>
        </is>
      </c>
      <c r="J9640" s="3" t="inlineStr">
        <is>
          <t>유구읍</t>
        </is>
      </c>
    </row>
    <row r="9641">
      <c r="A9641" s="3" t="n">
        <v>2023</v>
      </c>
      <c r="B9641" s="4" t="n">
        <v>5000</v>
      </c>
      <c r="C9641" s="4" t="n">
        <v>277</v>
      </c>
      <c r="D9641" s="4" t="n">
        <v>83.7925</v>
      </c>
      <c r="E9641" s="5" t="n">
        <v>59.7</v>
      </c>
      <c r="F9641" s="3" t="inlineStr">
        <is>
          <t>유구읍</t>
        </is>
      </c>
      <c r="G9641" s="3" t="inlineStr">
        <is>
          <t>백교리</t>
        </is>
      </c>
      <c r="H9641" s="3" t="inlineStr">
        <is>
          <t>일반상업지역</t>
        </is>
      </c>
      <c r="I9641" s="3" t="inlineStr">
        <is>
          <t>대</t>
        </is>
      </c>
      <c r="J9641" s="3" t="inlineStr">
        <is>
          <t>유구읍</t>
        </is>
      </c>
    </row>
    <row r="9642">
      <c r="A9642" s="3" t="n">
        <v>2023</v>
      </c>
      <c r="B9642" s="4" t="n">
        <v>1854</v>
      </c>
      <c r="C9642" s="4" t="n">
        <v>342</v>
      </c>
      <c r="D9642" s="4" t="n">
        <v>103.455</v>
      </c>
      <c r="E9642" s="5" t="n">
        <v>17.9</v>
      </c>
      <c r="F9642" s="3" t="inlineStr">
        <is>
          <t>유구읍</t>
        </is>
      </c>
      <c r="G9642" s="3" t="inlineStr">
        <is>
          <t>추계리</t>
        </is>
      </c>
      <c r="H9642" s="3" t="inlineStr">
        <is>
          <t>보전관리지역</t>
        </is>
      </c>
      <c r="I9642" s="3" t="inlineStr">
        <is>
          <t>전</t>
        </is>
      </c>
      <c r="J9642" s="3" t="inlineStr">
        <is>
          <t>유구읍</t>
        </is>
      </c>
    </row>
    <row r="9643">
      <c r="A9643" s="3" t="n">
        <v>2023</v>
      </c>
      <c r="B9643" s="4" t="n">
        <v>461</v>
      </c>
      <c r="C9643" s="4" t="n">
        <v>85</v>
      </c>
      <c r="D9643" s="4" t="n">
        <v>25.7125</v>
      </c>
      <c r="E9643" s="5" t="n">
        <v>17.9</v>
      </c>
      <c r="F9643" s="3" t="inlineStr">
        <is>
          <t>유구읍</t>
        </is>
      </c>
      <c r="G9643" s="3" t="inlineStr">
        <is>
          <t>추계리</t>
        </is>
      </c>
      <c r="H9643" s="3" t="inlineStr">
        <is>
          <t>보전관리지역</t>
        </is>
      </c>
      <c r="I9643" s="3" t="inlineStr">
        <is>
          <t>전</t>
        </is>
      </c>
      <c r="J9643" s="3" t="inlineStr">
        <is>
          <t>유구읍</t>
        </is>
      </c>
    </row>
    <row r="9644">
      <c r="A9644" s="3" t="n">
        <v>2023</v>
      </c>
      <c r="B9644" s="4" t="n">
        <v>461</v>
      </c>
      <c r="C9644" s="4" t="n">
        <v>85</v>
      </c>
      <c r="D9644" s="4" t="n">
        <v>25.7125</v>
      </c>
      <c r="E9644" s="5" t="n">
        <v>17.9</v>
      </c>
      <c r="F9644" s="3" t="inlineStr">
        <is>
          <t>유구읍</t>
        </is>
      </c>
      <c r="G9644" s="3" t="inlineStr">
        <is>
          <t>추계리</t>
        </is>
      </c>
      <c r="H9644" s="3" t="inlineStr">
        <is>
          <t>보전관리지역</t>
        </is>
      </c>
      <c r="I9644" s="3" t="inlineStr">
        <is>
          <t>답</t>
        </is>
      </c>
      <c r="J9644" s="3" t="inlineStr">
        <is>
          <t>유구읍</t>
        </is>
      </c>
    </row>
    <row r="9645">
      <c r="A9645" s="3" t="n">
        <v>2023</v>
      </c>
      <c r="B9645" s="4" t="n">
        <v>325</v>
      </c>
      <c r="C9645" s="4" t="n">
        <v>60</v>
      </c>
      <c r="D9645" s="4" t="n">
        <v>18.15</v>
      </c>
      <c r="E9645" s="5" t="n">
        <v>17.9</v>
      </c>
      <c r="F9645" s="3" t="inlineStr">
        <is>
          <t>유구읍</t>
        </is>
      </c>
      <c r="G9645" s="3" t="inlineStr">
        <is>
          <t>추계리</t>
        </is>
      </c>
      <c r="H9645" s="3" t="inlineStr">
        <is>
          <t>보전관리지역</t>
        </is>
      </c>
      <c r="I9645" s="3" t="inlineStr">
        <is>
          <t>답</t>
        </is>
      </c>
      <c r="J9645" s="3" t="inlineStr">
        <is>
          <t>유구읍</t>
        </is>
      </c>
    </row>
    <row r="9646">
      <c r="A9646" s="3" t="n">
        <v>2023</v>
      </c>
      <c r="B9646" s="4" t="n">
        <v>17000</v>
      </c>
      <c r="C9646" s="4" t="n">
        <v>2489</v>
      </c>
      <c r="D9646" s="4" t="n">
        <v>752.9225</v>
      </c>
      <c r="E9646" s="5" t="n">
        <v>22.6</v>
      </c>
      <c r="F9646" s="3" t="inlineStr">
        <is>
          <t>유구읍</t>
        </is>
      </c>
      <c r="G9646" s="3" t="inlineStr">
        <is>
          <t>동해리</t>
        </is>
      </c>
      <c r="H9646" s="3" t="inlineStr">
        <is>
          <t>계획관리지역</t>
        </is>
      </c>
      <c r="I9646" s="3" t="inlineStr">
        <is>
          <t>답</t>
        </is>
      </c>
      <c r="J9646" s="3" t="inlineStr">
        <is>
          <t>유구읍</t>
        </is>
      </c>
    </row>
    <row r="9647">
      <c r="A9647" s="3" t="n">
        <v>2023</v>
      </c>
      <c r="B9647" s="4" t="n">
        <v>4200</v>
      </c>
      <c r="C9647" s="4" t="n">
        <v>430</v>
      </c>
      <c r="D9647" s="4" t="n">
        <v>130.075</v>
      </c>
      <c r="E9647" s="5" t="n">
        <v>32.3</v>
      </c>
      <c r="F9647" s="3" t="inlineStr">
        <is>
          <t>유구읍</t>
        </is>
      </c>
      <c r="G9647" s="3" t="inlineStr">
        <is>
          <t>녹천리</t>
        </is>
      </c>
      <c r="H9647" s="3" t="inlineStr">
        <is>
          <t>자연녹지지역</t>
        </is>
      </c>
      <c r="I9647" s="3" t="inlineStr">
        <is>
          <t>답</t>
        </is>
      </c>
      <c r="J9647" s="3" t="inlineStr">
        <is>
          <t>유구읍</t>
        </is>
      </c>
    </row>
    <row r="9648">
      <c r="A9648" s="3" t="n">
        <v>2023</v>
      </c>
      <c r="B9648" s="4" t="n">
        <v>5000</v>
      </c>
      <c r="C9648" s="4" t="n">
        <v>655</v>
      </c>
      <c r="D9648" s="4" t="n">
        <v>198.1375</v>
      </c>
      <c r="E9648" s="5" t="n">
        <v>25.2</v>
      </c>
      <c r="F9648" s="3" t="inlineStr">
        <is>
          <t>유구읍</t>
        </is>
      </c>
      <c r="G9648" s="3" t="inlineStr">
        <is>
          <t>유구리</t>
        </is>
      </c>
      <c r="H9648" s="3" t="inlineStr">
        <is>
          <t>계획관리지역</t>
        </is>
      </c>
      <c r="I9648" s="3" t="inlineStr">
        <is>
          <t>전</t>
        </is>
      </c>
      <c r="J9648" s="3" t="inlineStr">
        <is>
          <t>유구읍</t>
        </is>
      </c>
    </row>
    <row r="9649">
      <c r="A9649" s="3" t="n">
        <v>2023</v>
      </c>
      <c r="B9649" s="4" t="n">
        <v>900</v>
      </c>
      <c r="C9649" s="4" t="n">
        <v>83</v>
      </c>
      <c r="D9649" s="4" t="n">
        <v>25.1075</v>
      </c>
      <c r="E9649" s="5" t="n">
        <v>35.8</v>
      </c>
      <c r="F9649" s="3" t="inlineStr">
        <is>
          <t>유구읍</t>
        </is>
      </c>
      <c r="G9649" s="3" t="inlineStr">
        <is>
          <t>유구리</t>
        </is>
      </c>
      <c r="H9649" s="3" t="inlineStr">
        <is>
          <t>계획관리지역</t>
        </is>
      </c>
      <c r="I9649" s="3" t="inlineStr">
        <is>
          <t>대</t>
        </is>
      </c>
      <c r="J9649" s="3" t="inlineStr">
        <is>
          <t>유구읍</t>
        </is>
      </c>
    </row>
    <row r="9650">
      <c r="A9650" s="3" t="n">
        <v>2023</v>
      </c>
      <c r="B9650" s="4" t="n">
        <v>1800</v>
      </c>
      <c r="C9650" s="4" t="n">
        <v>218</v>
      </c>
      <c r="D9650" s="4" t="n">
        <v>65.94499999999999</v>
      </c>
      <c r="E9650" s="5" t="n">
        <v>27.3</v>
      </c>
      <c r="F9650" s="3" t="inlineStr">
        <is>
          <t>유구읍</t>
        </is>
      </c>
      <c r="G9650" s="3" t="inlineStr">
        <is>
          <t>유구리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유구읍</t>
        </is>
      </c>
    </row>
    <row r="9651">
      <c r="A9651" s="3" t="n">
        <v>2023</v>
      </c>
      <c r="B9651" s="4" t="n">
        <v>3751</v>
      </c>
      <c r="C9651" s="4" t="n">
        <v>377</v>
      </c>
      <c r="D9651" s="4" t="n">
        <v>114.0425</v>
      </c>
      <c r="E9651" s="5" t="n">
        <v>32.9</v>
      </c>
      <c r="F9651" s="3" t="inlineStr">
        <is>
          <t>유구읍</t>
        </is>
      </c>
      <c r="G9651" s="3" t="inlineStr">
        <is>
          <t>노동리</t>
        </is>
      </c>
      <c r="H9651" s="3" t="inlineStr">
        <is>
          <t>계획관리지역</t>
        </is>
      </c>
      <c r="I9651" s="3" t="inlineStr">
        <is>
          <t>답</t>
        </is>
      </c>
      <c r="J9651" s="3" t="inlineStr">
        <is>
          <t>유구읍</t>
        </is>
      </c>
    </row>
    <row r="9652">
      <c r="A9652" s="3" t="n">
        <v>2023</v>
      </c>
      <c r="B9652" s="4" t="n">
        <v>7602</v>
      </c>
      <c r="C9652" s="4" t="n">
        <v>764</v>
      </c>
      <c r="D9652" s="4" t="n">
        <v>231.11</v>
      </c>
      <c r="E9652" s="5" t="n">
        <v>32.9</v>
      </c>
      <c r="F9652" s="3" t="inlineStr">
        <is>
          <t>유구읍</t>
        </is>
      </c>
      <c r="G9652" s="3" t="inlineStr">
        <is>
          <t>노동리</t>
        </is>
      </c>
      <c r="H9652" s="3" t="inlineStr">
        <is>
          <t>계획관리지역</t>
        </is>
      </c>
      <c r="I9652" s="3" t="inlineStr">
        <is>
          <t>답</t>
        </is>
      </c>
      <c r="J9652" s="3" t="inlineStr">
        <is>
          <t>유구읍</t>
        </is>
      </c>
    </row>
    <row r="9653">
      <c r="A9653" s="3" t="n">
        <v>2023</v>
      </c>
      <c r="B9653" s="4" t="n">
        <v>1647</v>
      </c>
      <c r="C9653" s="4" t="n">
        <v>164</v>
      </c>
      <c r="D9653" s="4" t="n">
        <v>49.61</v>
      </c>
      <c r="E9653" s="5" t="n">
        <v>33.2</v>
      </c>
      <c r="F9653" s="3" t="inlineStr">
        <is>
          <t>유구읍</t>
        </is>
      </c>
      <c r="G9653" s="3" t="inlineStr">
        <is>
          <t>노동리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유구읍</t>
        </is>
      </c>
    </row>
    <row r="9654">
      <c r="A9654" s="3" t="n">
        <v>2023</v>
      </c>
      <c r="B9654" s="4" t="n">
        <v>5702</v>
      </c>
      <c r="C9654" s="4" t="n">
        <v>688</v>
      </c>
      <c r="D9654" s="4" t="n">
        <v>208.12</v>
      </c>
      <c r="E9654" s="5" t="n">
        <v>27.4</v>
      </c>
      <c r="F9654" s="3" t="inlineStr">
        <is>
          <t>유구읍</t>
        </is>
      </c>
      <c r="G9654" s="3" t="inlineStr">
        <is>
          <t>연종리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유구읍</t>
        </is>
      </c>
    </row>
    <row r="9655">
      <c r="A9655" s="3" t="n">
        <v>2023</v>
      </c>
      <c r="B9655" s="4" t="n">
        <v>273</v>
      </c>
      <c r="C9655" s="4" t="n">
        <v>33</v>
      </c>
      <c r="D9655" s="4" t="n">
        <v>9.9825</v>
      </c>
      <c r="E9655" s="5" t="n">
        <v>27.3</v>
      </c>
      <c r="F9655" s="3" t="inlineStr">
        <is>
          <t>유구읍</t>
        </is>
      </c>
      <c r="G9655" s="3" t="inlineStr">
        <is>
          <t>연종리</t>
        </is>
      </c>
      <c r="H9655" s="3" t="inlineStr">
        <is>
          <t>계획관리지역</t>
        </is>
      </c>
      <c r="I9655" s="3" t="inlineStr">
        <is>
          <t>전</t>
        </is>
      </c>
      <c r="J9655" s="3" t="inlineStr">
        <is>
          <t>유구읍</t>
        </is>
      </c>
    </row>
    <row r="9656">
      <c r="A9656" s="3" t="n">
        <v>2023</v>
      </c>
      <c r="B9656" s="4" t="n">
        <v>25</v>
      </c>
      <c r="C9656" s="4" t="n">
        <v>3</v>
      </c>
      <c r="D9656" s="4" t="n">
        <v>0.9075</v>
      </c>
      <c r="E9656" s="5" t="n">
        <v>27.5</v>
      </c>
      <c r="F9656" s="3" t="inlineStr">
        <is>
          <t>유구읍</t>
        </is>
      </c>
      <c r="G9656" s="3" t="inlineStr">
        <is>
          <t>연종리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유구읍</t>
        </is>
      </c>
    </row>
    <row r="9657">
      <c r="A9657" s="3" t="n">
        <v>2023</v>
      </c>
      <c r="B9657" s="4" t="n">
        <v>7526</v>
      </c>
      <c r="C9657" s="4" t="n">
        <v>577</v>
      </c>
      <c r="D9657" s="4" t="n">
        <v>174.5425</v>
      </c>
      <c r="E9657" s="5" t="n">
        <v>43.1</v>
      </c>
      <c r="F9657" s="3" t="inlineStr">
        <is>
          <t>유구읍</t>
        </is>
      </c>
      <c r="G9657" s="3" t="inlineStr">
        <is>
          <t>연종리</t>
        </is>
      </c>
      <c r="H9657" s="3" t="inlineStr">
        <is>
          <t>계획관리지역</t>
        </is>
      </c>
      <c r="I9657" s="3" t="inlineStr">
        <is>
          <t>답</t>
        </is>
      </c>
      <c r="J9657" s="3" t="inlineStr">
        <is>
          <t>유구읍</t>
        </is>
      </c>
    </row>
    <row r="9658">
      <c r="A9658" s="3" t="n">
        <v>2023</v>
      </c>
      <c r="B9658" s="4" t="n">
        <v>171</v>
      </c>
      <c r="C9658" s="4" t="n">
        <v>13</v>
      </c>
      <c r="D9658" s="4" t="n">
        <v>3.9325</v>
      </c>
      <c r="E9658" s="5" t="n">
        <v>43.5</v>
      </c>
      <c r="F9658" s="3" t="inlineStr">
        <is>
          <t>유구읍</t>
        </is>
      </c>
      <c r="G9658" s="3" t="inlineStr">
        <is>
          <t>연종리</t>
        </is>
      </c>
      <c r="H9658" s="3" t="inlineStr">
        <is>
          <t>계획관리지역</t>
        </is>
      </c>
      <c r="I9658" s="3" t="inlineStr">
        <is>
          <t>답</t>
        </is>
      </c>
      <c r="J9658" s="3" t="inlineStr">
        <is>
          <t>유구읍</t>
        </is>
      </c>
    </row>
    <row r="9659">
      <c r="A9659" s="3" t="n">
        <v>2023</v>
      </c>
      <c r="B9659" s="4" t="n">
        <v>15834</v>
      </c>
      <c r="C9659" s="4" t="n">
        <v>1214</v>
      </c>
      <c r="D9659" s="4" t="n">
        <v>367.235</v>
      </c>
      <c r="E9659" s="5" t="n">
        <v>43.1</v>
      </c>
      <c r="F9659" s="3" t="inlineStr">
        <is>
          <t>유구읍</t>
        </is>
      </c>
      <c r="G9659" s="3" t="inlineStr">
        <is>
          <t>연종리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유구읍</t>
        </is>
      </c>
    </row>
    <row r="9660">
      <c r="A9660" s="3" t="n">
        <v>2023</v>
      </c>
      <c r="B9660" s="4" t="n">
        <v>470</v>
      </c>
      <c r="C9660" s="4" t="n">
        <v>36</v>
      </c>
      <c r="D9660" s="4" t="n">
        <v>10.89</v>
      </c>
      <c r="E9660" s="5" t="n">
        <v>43.2</v>
      </c>
      <c r="F9660" s="3" t="inlineStr">
        <is>
          <t>유구읍</t>
        </is>
      </c>
      <c r="G9660" s="3" t="inlineStr">
        <is>
          <t>연종리</t>
        </is>
      </c>
      <c r="H9660" s="3" t="inlineStr">
        <is>
          <t>계획관리지역</t>
        </is>
      </c>
      <c r="I9660" s="3" t="inlineStr">
        <is>
          <t>답</t>
        </is>
      </c>
      <c r="J9660" s="3" t="inlineStr">
        <is>
          <t>유구읍</t>
        </is>
      </c>
    </row>
    <row r="9661">
      <c r="A9661" s="3" t="n">
        <v>2023</v>
      </c>
      <c r="B9661" s="4" t="n">
        <v>6000</v>
      </c>
      <c r="C9661" s="4" t="n">
        <v>1514</v>
      </c>
      <c r="D9661" s="4" t="n">
        <v>457.985</v>
      </c>
      <c r="E9661" s="5" t="n">
        <v>13.1</v>
      </c>
      <c r="F9661" s="3" t="inlineStr">
        <is>
          <t>유구읍</t>
        </is>
      </c>
      <c r="G9661" s="3" t="inlineStr">
        <is>
          <t>문금리</t>
        </is>
      </c>
      <c r="H9661" s="3" t="inlineStr">
        <is>
          <t>보전관리지역</t>
        </is>
      </c>
      <c r="I9661" s="3" t="inlineStr">
        <is>
          <t>전</t>
        </is>
      </c>
      <c r="J9661" s="3" t="inlineStr">
        <is>
          <t>유구읍</t>
        </is>
      </c>
    </row>
    <row r="9662">
      <c r="A9662" s="3" t="n">
        <v>2023</v>
      </c>
      <c r="B9662" s="4" t="n">
        <v>8092</v>
      </c>
      <c r="C9662" s="4" t="n">
        <v>1574</v>
      </c>
      <c r="D9662" s="4" t="n">
        <v>476.135</v>
      </c>
      <c r="E9662" s="5" t="n">
        <v>17</v>
      </c>
      <c r="F9662" s="3" t="inlineStr">
        <is>
          <t>유구읍</t>
        </is>
      </c>
      <c r="G9662" s="3" t="inlineStr">
        <is>
          <t>백교리</t>
        </is>
      </c>
      <c r="H9662" s="3" t="inlineStr">
        <is>
          <t>계획관리지역</t>
        </is>
      </c>
      <c r="I9662" s="3" t="inlineStr">
        <is>
          <t>전</t>
        </is>
      </c>
      <c r="J9662" s="3" t="inlineStr">
        <is>
          <t>유구읍</t>
        </is>
      </c>
    </row>
    <row r="9663">
      <c r="A9663" s="3" t="n">
        <v>2023</v>
      </c>
      <c r="B9663" s="4" t="n">
        <v>939</v>
      </c>
      <c r="C9663" s="4" t="n">
        <v>380</v>
      </c>
      <c r="D9663" s="4" t="n">
        <v>114.95</v>
      </c>
      <c r="E9663" s="5" t="n">
        <v>8.199999999999999</v>
      </c>
      <c r="F9663" s="3" t="inlineStr">
        <is>
          <t>유구읍</t>
        </is>
      </c>
      <c r="G9663" s="3" t="inlineStr">
        <is>
          <t>만천리</t>
        </is>
      </c>
      <c r="H9663" s="3" t="inlineStr">
        <is>
          <t>계획관리지역</t>
        </is>
      </c>
      <c r="I9663" s="3" t="inlineStr">
        <is>
          <t>전</t>
        </is>
      </c>
      <c r="J9663" s="3" t="inlineStr">
        <is>
          <t>유구읍</t>
        </is>
      </c>
    </row>
    <row r="9664">
      <c r="A9664" s="3" t="n">
        <v>2023</v>
      </c>
      <c r="B9664" s="4" t="n">
        <v>1800</v>
      </c>
      <c r="C9664" s="4" t="n">
        <v>89</v>
      </c>
      <c r="D9664" s="4" t="n">
        <v>26.9225</v>
      </c>
      <c r="E9664" s="5" t="n">
        <v>66.90000000000001</v>
      </c>
      <c r="F9664" s="3" t="inlineStr">
        <is>
          <t>유구읍</t>
        </is>
      </c>
      <c r="G9664" s="3" t="inlineStr">
        <is>
          <t>백교리</t>
        </is>
      </c>
      <c r="H9664" s="3" t="inlineStr">
        <is>
          <t>제2종일반주거지역</t>
        </is>
      </c>
      <c r="I9664" s="3" t="inlineStr">
        <is>
          <t>답</t>
        </is>
      </c>
      <c r="J9664" s="3" t="inlineStr">
        <is>
          <t>유구읍</t>
        </is>
      </c>
    </row>
    <row r="9665">
      <c r="A9665" s="3" t="n">
        <v>2023</v>
      </c>
      <c r="B9665" s="4" t="n">
        <v>19896</v>
      </c>
      <c r="C9665" s="4" t="n">
        <v>103934</v>
      </c>
      <c r="D9665" s="4" t="n">
        <v>31440.035</v>
      </c>
      <c r="E9665" s="5" t="n">
        <v>0.6</v>
      </c>
      <c r="F9665" s="3" t="inlineStr">
        <is>
          <t>유구읍</t>
        </is>
      </c>
      <c r="G9665" s="3" t="inlineStr">
        <is>
          <t>문금리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유구읍</t>
        </is>
      </c>
    </row>
    <row r="9666">
      <c r="A9666" s="3" t="n">
        <v>2023</v>
      </c>
      <c r="B9666" s="4" t="n">
        <v>1450</v>
      </c>
      <c r="C9666" s="4" t="n">
        <v>479</v>
      </c>
      <c r="D9666" s="4" t="n">
        <v>144.8975</v>
      </c>
      <c r="E9666" s="5" t="n">
        <v>10</v>
      </c>
      <c r="F9666" s="3" t="inlineStr">
        <is>
          <t>유구읍</t>
        </is>
      </c>
      <c r="G9666" s="3" t="inlineStr">
        <is>
          <t>구계리</t>
        </is>
      </c>
      <c r="H9666" s="3" t="inlineStr">
        <is>
          <t>계획관리지역</t>
        </is>
      </c>
      <c r="I9666" s="3" t="inlineStr">
        <is>
          <t>임야</t>
        </is>
      </c>
      <c r="J9666" s="3" t="inlineStr">
        <is>
          <t>유구읍</t>
        </is>
      </c>
    </row>
    <row r="9667">
      <c r="A9667" s="3" t="n">
        <v>2023</v>
      </c>
      <c r="B9667" s="4" t="n">
        <v>1600</v>
      </c>
      <c r="C9667" s="4" t="n">
        <v>407</v>
      </c>
      <c r="D9667" s="4" t="n">
        <v>123.1175</v>
      </c>
      <c r="E9667" s="5" t="n">
        <v>13</v>
      </c>
      <c r="F9667" s="3" t="inlineStr">
        <is>
          <t>유구읍</t>
        </is>
      </c>
      <c r="G9667" s="3" t="inlineStr">
        <is>
          <t>문금리</t>
        </is>
      </c>
      <c r="H9667" s="3" t="inlineStr">
        <is>
          <t>계획관리지역</t>
        </is>
      </c>
      <c r="I9667" s="3" t="inlineStr">
        <is>
          <t>답</t>
        </is>
      </c>
      <c r="J9667" s="3" t="inlineStr">
        <is>
          <t>유구읍</t>
        </is>
      </c>
    </row>
    <row r="9668">
      <c r="A9668" s="3" t="n">
        <v>2023</v>
      </c>
      <c r="B9668" s="4" t="n">
        <v>33060</v>
      </c>
      <c r="C9668" s="4" t="n">
        <v>132241</v>
      </c>
      <c r="D9668" s="4" t="n">
        <v>40002.9025</v>
      </c>
      <c r="E9668" s="5" t="n">
        <v>0.8</v>
      </c>
      <c r="F9668" s="3" t="inlineStr">
        <is>
          <t>유구읍</t>
        </is>
      </c>
      <c r="G9668" s="3" t="inlineStr">
        <is>
          <t>추계리</t>
        </is>
      </c>
      <c r="H9668" s="3" t="inlineStr">
        <is>
          <t>농림지역</t>
        </is>
      </c>
      <c r="I9668" s="3" t="inlineStr">
        <is>
          <t>임야</t>
        </is>
      </c>
      <c r="J9668" s="3" t="inlineStr">
        <is>
          <t>유구읍</t>
        </is>
      </c>
    </row>
    <row r="9669">
      <c r="A9669" s="3" t="n">
        <v>2023</v>
      </c>
      <c r="B9669" s="4" t="n">
        <v>22346</v>
      </c>
      <c r="C9669" s="4" t="n">
        <v>82763</v>
      </c>
      <c r="D9669" s="4" t="n">
        <v>25035.8075</v>
      </c>
      <c r="E9669" s="5" t="n">
        <v>0.9</v>
      </c>
      <c r="F9669" s="3" t="inlineStr">
        <is>
          <t>유구읍</t>
        </is>
      </c>
      <c r="G9669" s="3" t="inlineStr">
        <is>
          <t>추계리</t>
        </is>
      </c>
      <c r="H9669" s="3" t="inlineStr">
        <is>
          <t>농림지역</t>
        </is>
      </c>
      <c r="I9669" s="3" t="inlineStr">
        <is>
          <t>임야</t>
        </is>
      </c>
      <c r="J9669" s="3" t="inlineStr">
        <is>
          <t>유구읍</t>
        </is>
      </c>
    </row>
    <row r="9670">
      <c r="A9670" s="3" t="n">
        <v>2023</v>
      </c>
      <c r="B9670" s="4" t="n">
        <v>4200</v>
      </c>
      <c r="C9670" s="4" t="n">
        <v>1336</v>
      </c>
      <c r="D9670" s="4" t="n">
        <v>404.14</v>
      </c>
      <c r="E9670" s="5" t="n">
        <v>10.4</v>
      </c>
      <c r="F9670" s="3" t="inlineStr">
        <is>
          <t>유구읍</t>
        </is>
      </c>
      <c r="G9670" s="3" t="inlineStr">
        <is>
          <t>유구리</t>
        </is>
      </c>
      <c r="H9670" s="3" t="inlineStr">
        <is>
          <t>계획관리지역</t>
        </is>
      </c>
      <c r="I9670" s="3" t="inlineStr">
        <is>
          <t>답</t>
        </is>
      </c>
      <c r="J9670" s="3" t="inlineStr">
        <is>
          <t>유구읍</t>
        </is>
      </c>
    </row>
    <row r="9671">
      <c r="A9671" s="3" t="n">
        <v>2023</v>
      </c>
      <c r="B9671" s="4" t="n">
        <v>5000</v>
      </c>
      <c r="C9671" s="4" t="n">
        <v>826</v>
      </c>
      <c r="D9671" s="4" t="n">
        <v>249.865</v>
      </c>
      <c r="E9671" s="5" t="n">
        <v>20</v>
      </c>
      <c r="F9671" s="3" t="inlineStr">
        <is>
          <t>유구읍</t>
        </is>
      </c>
      <c r="G9671" s="3" t="inlineStr">
        <is>
          <t>명곡리</t>
        </is>
      </c>
      <c r="H9671" s="3" t="inlineStr">
        <is>
          <t>계획관리지역</t>
        </is>
      </c>
      <c r="I9671" s="3" t="inlineStr">
        <is>
          <t>대</t>
        </is>
      </c>
      <c r="J9671" s="3" t="inlineStr">
        <is>
          <t>유구읍</t>
        </is>
      </c>
    </row>
    <row r="9672">
      <c r="A9672" s="3" t="n">
        <v>2024</v>
      </c>
      <c r="B9672" s="4" t="n">
        <v>10062</v>
      </c>
      <c r="C9672" s="4" t="n">
        <v>2469</v>
      </c>
      <c r="D9672" s="4" t="n">
        <v>746.8724999999999</v>
      </c>
      <c r="E9672" s="5" t="n">
        <v>13.5</v>
      </c>
      <c r="F9672" s="3" t="inlineStr">
        <is>
          <t>유구읍</t>
        </is>
      </c>
      <c r="G9672" s="3" t="inlineStr">
        <is>
          <t>추계리</t>
        </is>
      </c>
      <c r="H9672" s="3" t="inlineStr">
        <is>
          <t>보전관리지역</t>
        </is>
      </c>
      <c r="I9672" s="3" t="inlineStr">
        <is>
          <t>답</t>
        </is>
      </c>
      <c r="J9672" s="3" t="inlineStr">
        <is>
          <t>유구읍</t>
        </is>
      </c>
    </row>
    <row r="9673">
      <c r="A9673" s="3" t="n">
        <v>2024</v>
      </c>
      <c r="B9673" s="4" t="n">
        <v>1038</v>
      </c>
      <c r="C9673" s="4" t="n">
        <v>255</v>
      </c>
      <c r="D9673" s="4" t="n">
        <v>77.1375</v>
      </c>
      <c r="E9673" s="5" t="n">
        <v>13.5</v>
      </c>
      <c r="F9673" s="3" t="inlineStr">
        <is>
          <t>유구읍</t>
        </is>
      </c>
      <c r="G9673" s="3" t="inlineStr">
        <is>
          <t>추계리</t>
        </is>
      </c>
      <c r="H9673" s="3" t="inlineStr">
        <is>
          <t>보전관리지역</t>
        </is>
      </c>
      <c r="I9673" s="3" t="inlineStr">
        <is>
          <t>답</t>
        </is>
      </c>
      <c r="J9673" s="3" t="inlineStr">
        <is>
          <t>유구읍</t>
        </is>
      </c>
    </row>
    <row r="9674">
      <c r="A9674" s="3" t="n">
        <v>2024</v>
      </c>
      <c r="B9674" s="4" t="n">
        <v>178</v>
      </c>
      <c r="C9674" s="4" t="n">
        <v>136</v>
      </c>
      <c r="D9674" s="4" t="n">
        <v>41.14</v>
      </c>
      <c r="E9674" s="5" t="n">
        <v>4.3</v>
      </c>
      <c r="F9674" s="3" t="inlineStr">
        <is>
          <t>유구읍</t>
        </is>
      </c>
      <c r="G9674" s="3" t="inlineStr">
        <is>
          <t>신영리</t>
        </is>
      </c>
      <c r="H9674" s="3" t="inlineStr">
        <is>
          <t>보전관리지역</t>
        </is>
      </c>
      <c r="I9674" s="3" t="inlineStr">
        <is>
          <t>임야</t>
        </is>
      </c>
      <c r="J9674" s="3" t="inlineStr">
        <is>
          <t>유구읍</t>
        </is>
      </c>
    </row>
    <row r="9675">
      <c r="A9675" s="3" t="n">
        <v>2024</v>
      </c>
      <c r="B9675" s="4" t="n">
        <v>161</v>
      </c>
      <c r="C9675" s="4" t="n">
        <v>123</v>
      </c>
      <c r="D9675" s="4" t="n">
        <v>37.2075</v>
      </c>
      <c r="E9675" s="5" t="n">
        <v>4.3</v>
      </c>
      <c r="F9675" s="3" t="inlineStr">
        <is>
          <t>유구읍</t>
        </is>
      </c>
      <c r="G9675" s="3" t="inlineStr">
        <is>
          <t>신영리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유구읍</t>
        </is>
      </c>
    </row>
    <row r="9676">
      <c r="A9676" s="3" t="n">
        <v>2024</v>
      </c>
      <c r="B9676" s="4" t="n">
        <v>162</v>
      </c>
      <c r="C9676" s="4" t="n">
        <v>124</v>
      </c>
      <c r="D9676" s="4" t="n">
        <v>37.51</v>
      </c>
      <c r="E9676" s="5" t="n">
        <v>4.3</v>
      </c>
      <c r="F9676" s="3" t="inlineStr">
        <is>
          <t>유구읍</t>
        </is>
      </c>
      <c r="G9676" s="3" t="inlineStr">
        <is>
          <t>신영리</t>
        </is>
      </c>
      <c r="H9676" s="3" t="inlineStr">
        <is>
          <t>보전관리지역</t>
        </is>
      </c>
      <c r="I9676" s="3" t="inlineStr">
        <is>
          <t>임야</t>
        </is>
      </c>
      <c r="J9676" s="3" t="inlineStr">
        <is>
          <t>유구읍</t>
        </is>
      </c>
    </row>
    <row r="9677">
      <c r="A9677" s="3" t="n">
        <v>2024</v>
      </c>
      <c r="B9677" s="4" t="n">
        <v>1000</v>
      </c>
      <c r="C9677" s="4" t="n">
        <v>369</v>
      </c>
      <c r="D9677" s="4" t="n">
        <v>111.6225</v>
      </c>
      <c r="E9677" s="5" t="n">
        <v>9</v>
      </c>
      <c r="F9677" s="3" t="inlineStr">
        <is>
          <t>유구읍</t>
        </is>
      </c>
      <c r="G9677" s="3" t="inlineStr">
        <is>
          <t>신영리</t>
        </is>
      </c>
      <c r="H9677" s="3" t="inlineStr">
        <is>
          <t>보전관리지역</t>
        </is>
      </c>
      <c r="I9677" s="3" t="inlineStr">
        <is>
          <t>임야</t>
        </is>
      </c>
      <c r="J9677" s="3" t="inlineStr">
        <is>
          <t>유구읍</t>
        </is>
      </c>
    </row>
    <row r="9678">
      <c r="A9678" s="3" t="n">
        <v>2024</v>
      </c>
      <c r="B9678" s="4" t="n">
        <v>2860</v>
      </c>
      <c r="C9678" s="4" t="n">
        <v>858.6</v>
      </c>
      <c r="D9678" s="4" t="n">
        <v>259.7265</v>
      </c>
      <c r="E9678" s="5" t="n">
        <v>11</v>
      </c>
      <c r="F9678" s="3" t="inlineStr">
        <is>
          <t>유구읍</t>
        </is>
      </c>
      <c r="G9678" s="3" t="inlineStr">
        <is>
          <t>추계리</t>
        </is>
      </c>
      <c r="H9678" s="3" t="inlineStr">
        <is>
          <t>농림지역</t>
        </is>
      </c>
      <c r="I9678" s="3" t="inlineStr">
        <is>
          <t>답</t>
        </is>
      </c>
      <c r="J9678" s="3" t="inlineStr">
        <is>
          <t>유구읍</t>
        </is>
      </c>
    </row>
    <row r="9679">
      <c r="A9679" s="3" t="n">
        <v>2024</v>
      </c>
      <c r="B9679" s="4" t="n">
        <v>5000</v>
      </c>
      <c r="C9679" s="4" t="n">
        <v>1207</v>
      </c>
      <c r="D9679" s="4" t="n">
        <v>365.1175</v>
      </c>
      <c r="E9679" s="5" t="n">
        <v>13.7</v>
      </c>
      <c r="F9679" s="3" t="inlineStr">
        <is>
          <t>유구읍</t>
        </is>
      </c>
      <c r="G9679" s="3" t="inlineStr">
        <is>
          <t>녹천리</t>
        </is>
      </c>
      <c r="H9679" s="3" t="inlineStr">
        <is>
          <t>자연녹지지역</t>
        </is>
      </c>
      <c r="I9679" s="3" t="inlineStr">
        <is>
          <t>답</t>
        </is>
      </c>
      <c r="J9679" s="3" t="inlineStr">
        <is>
          <t>유구읍</t>
        </is>
      </c>
    </row>
    <row r="9680">
      <c r="A9680" s="3" t="n">
        <v>2024</v>
      </c>
      <c r="B9680" s="4" t="n">
        <v>780</v>
      </c>
      <c r="C9680" s="4" t="n">
        <v>70</v>
      </c>
      <c r="D9680" s="4" t="n">
        <v>21.175</v>
      </c>
      <c r="E9680" s="5" t="n">
        <v>36.8</v>
      </c>
      <c r="F9680" s="3" t="inlineStr">
        <is>
          <t>유구읍</t>
        </is>
      </c>
      <c r="G9680" s="3" t="inlineStr">
        <is>
          <t>유구리</t>
        </is>
      </c>
      <c r="H9680" s="3" t="inlineStr">
        <is>
          <t>개발제한구역</t>
        </is>
      </c>
      <c r="I9680" s="3" t="inlineStr">
        <is>
          <t>전</t>
        </is>
      </c>
      <c r="J9680" s="3" t="inlineStr">
        <is>
          <t>유구읍</t>
        </is>
      </c>
    </row>
    <row r="9681">
      <c r="A9681" s="3" t="n">
        <v>2024</v>
      </c>
      <c r="B9681" s="4" t="n">
        <v>1800</v>
      </c>
      <c r="C9681" s="4" t="n">
        <v>108</v>
      </c>
      <c r="D9681" s="4" t="n">
        <v>32.67</v>
      </c>
      <c r="E9681" s="5" t="n">
        <v>55.1</v>
      </c>
      <c r="F9681" s="3" t="inlineStr">
        <is>
          <t>유구읍</t>
        </is>
      </c>
      <c r="G9681" s="3" t="inlineStr">
        <is>
          <t>석남리</t>
        </is>
      </c>
      <c r="H9681" s="3" t="inlineStr">
        <is>
          <t>제2종일반주거지역</t>
        </is>
      </c>
      <c r="I9681" s="3" t="inlineStr">
        <is>
          <t>대</t>
        </is>
      </c>
      <c r="J9681" s="3" t="inlineStr">
        <is>
          <t>유구읍</t>
        </is>
      </c>
    </row>
    <row r="9682">
      <c r="A9682" s="3" t="n">
        <v>2024</v>
      </c>
      <c r="B9682" s="4" t="n">
        <v>400</v>
      </c>
      <c r="C9682" s="4" t="n">
        <v>24</v>
      </c>
      <c r="D9682" s="4" t="n">
        <v>7.26</v>
      </c>
      <c r="E9682" s="5" t="n">
        <v>55.1</v>
      </c>
      <c r="F9682" s="3" t="inlineStr">
        <is>
          <t>유구읍</t>
        </is>
      </c>
      <c r="G9682" s="3" t="inlineStr">
        <is>
          <t>석남리</t>
        </is>
      </c>
      <c r="H9682" s="3" t="inlineStr">
        <is>
          <t>제2종일반주거지역</t>
        </is>
      </c>
      <c r="I9682" s="3" t="inlineStr">
        <is>
          <t>대</t>
        </is>
      </c>
      <c r="J9682" s="3" t="inlineStr">
        <is>
          <t>유구읍</t>
        </is>
      </c>
    </row>
    <row r="9683">
      <c r="A9683" s="3" t="n">
        <v>2024</v>
      </c>
      <c r="B9683" s="4" t="n">
        <v>9391</v>
      </c>
      <c r="C9683" s="4" t="n">
        <v>2390</v>
      </c>
      <c r="D9683" s="4" t="n">
        <v>722.975</v>
      </c>
      <c r="E9683" s="5" t="n">
        <v>13</v>
      </c>
      <c r="F9683" s="3" t="inlineStr">
        <is>
          <t>유구읍</t>
        </is>
      </c>
      <c r="G9683" s="3" t="inlineStr">
        <is>
          <t>동해리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유구읍</t>
        </is>
      </c>
    </row>
    <row r="9684">
      <c r="A9684" s="3" t="n">
        <v>2024</v>
      </c>
      <c r="B9684" s="4" t="n">
        <v>1269</v>
      </c>
      <c r="C9684" s="4" t="n">
        <v>323</v>
      </c>
      <c r="D9684" s="4" t="n">
        <v>97.7075</v>
      </c>
      <c r="E9684" s="5" t="n">
        <v>13</v>
      </c>
      <c r="F9684" s="3" t="inlineStr">
        <is>
          <t>유구읍</t>
        </is>
      </c>
      <c r="G9684" s="3" t="inlineStr">
        <is>
          <t>동해리</t>
        </is>
      </c>
      <c r="H9684" s="3" t="inlineStr">
        <is>
          <t>계획관리지역</t>
        </is>
      </c>
      <c r="I9684" s="3" t="inlineStr">
        <is>
          <t>답</t>
        </is>
      </c>
      <c r="J9684" s="3" t="inlineStr">
        <is>
          <t>유구읍</t>
        </is>
      </c>
    </row>
    <row r="9685">
      <c r="A9685" s="3" t="n">
        <v>2024</v>
      </c>
      <c r="B9685" s="4" t="n">
        <v>31000</v>
      </c>
      <c r="C9685" s="4" t="n">
        <v>533</v>
      </c>
      <c r="D9685" s="4" t="n">
        <v>161.2325</v>
      </c>
      <c r="E9685" s="5" t="n">
        <v>192.3</v>
      </c>
      <c r="F9685" s="3" t="inlineStr">
        <is>
          <t>유구읍</t>
        </is>
      </c>
      <c r="G9685" s="3" t="inlineStr">
        <is>
          <t>석남리</t>
        </is>
      </c>
      <c r="H9685" s="3" t="inlineStr">
        <is>
          <t>일반상업지역</t>
        </is>
      </c>
      <c r="I9685" s="3" t="inlineStr">
        <is>
          <t>답</t>
        </is>
      </c>
      <c r="J9685" s="3" t="inlineStr">
        <is>
          <t>유구읍</t>
        </is>
      </c>
    </row>
    <row r="9686">
      <c r="A9686" s="3" t="n">
        <v>2024</v>
      </c>
      <c r="B9686" s="4" t="n">
        <v>598</v>
      </c>
      <c r="C9686" s="4" t="n">
        <v>66</v>
      </c>
      <c r="D9686" s="4" t="n">
        <v>19.965</v>
      </c>
      <c r="E9686" s="5" t="n">
        <v>30</v>
      </c>
      <c r="F9686" s="3" t="inlineStr">
        <is>
          <t>유구읍</t>
        </is>
      </c>
      <c r="G9686" s="3" t="inlineStr">
        <is>
          <t>탑곡리</t>
        </is>
      </c>
      <c r="H9686" s="3" t="inlineStr">
        <is>
          <t>일반상업지역</t>
        </is>
      </c>
      <c r="I9686" s="3" t="inlineStr">
        <is>
          <t>전</t>
        </is>
      </c>
      <c r="J9686" s="3" t="inlineStr">
        <is>
          <t>유구읍</t>
        </is>
      </c>
    </row>
    <row r="9687">
      <c r="A9687" s="3" t="n">
        <v>2024</v>
      </c>
      <c r="B9687" s="4" t="n">
        <v>20470</v>
      </c>
      <c r="C9687" s="4" t="n">
        <v>2261</v>
      </c>
      <c r="D9687" s="4" t="n">
        <v>683.9525</v>
      </c>
      <c r="E9687" s="5" t="n">
        <v>29.9</v>
      </c>
      <c r="F9687" s="3" t="inlineStr">
        <is>
          <t>유구읍</t>
        </is>
      </c>
      <c r="G9687" s="3" t="inlineStr">
        <is>
          <t>탑곡리</t>
        </is>
      </c>
      <c r="H9687" s="3" t="inlineStr">
        <is>
          <t>일반상업지역</t>
        </is>
      </c>
      <c r="I9687" s="3" t="inlineStr">
        <is>
          <t>전</t>
        </is>
      </c>
      <c r="J9687" s="3" t="inlineStr">
        <is>
          <t>유구읍</t>
        </is>
      </c>
    </row>
    <row r="9688">
      <c r="A9688" s="3" t="n">
        <v>2024</v>
      </c>
      <c r="B9688" s="4" t="n">
        <v>3232</v>
      </c>
      <c r="C9688" s="4" t="n">
        <v>357</v>
      </c>
      <c r="D9688" s="4" t="n">
        <v>107.9925</v>
      </c>
      <c r="E9688" s="5" t="n">
        <v>29.9</v>
      </c>
      <c r="F9688" s="3" t="inlineStr">
        <is>
          <t>유구읍</t>
        </is>
      </c>
      <c r="G9688" s="3" t="inlineStr">
        <is>
          <t>탑곡리</t>
        </is>
      </c>
      <c r="H9688" s="3" t="inlineStr">
        <is>
          <t>일반상업지역</t>
        </is>
      </c>
      <c r="I9688" s="3" t="inlineStr">
        <is>
          <t>답</t>
        </is>
      </c>
      <c r="J9688" s="3" t="inlineStr">
        <is>
          <t>유구읍</t>
        </is>
      </c>
    </row>
    <row r="9689">
      <c r="A9689" s="3" t="n">
        <v>2024</v>
      </c>
      <c r="B9689" s="4" t="n">
        <v>3600</v>
      </c>
      <c r="C9689" s="4" t="n">
        <v>1180</v>
      </c>
      <c r="D9689" s="4" t="n">
        <v>356.95</v>
      </c>
      <c r="E9689" s="5" t="n">
        <v>10.1</v>
      </c>
      <c r="F9689" s="3" t="inlineStr">
        <is>
          <t>유구읍</t>
        </is>
      </c>
      <c r="G9689" s="3" t="inlineStr">
        <is>
          <t>연종리</t>
        </is>
      </c>
      <c r="H9689" s="3" t="inlineStr">
        <is>
          <t>생산관리지역</t>
        </is>
      </c>
      <c r="I9689" s="3" t="inlineStr">
        <is>
          <t>답</t>
        </is>
      </c>
      <c r="J9689" s="3" t="inlineStr">
        <is>
          <t>유구읍</t>
        </is>
      </c>
    </row>
    <row r="9690">
      <c r="A9690" s="3" t="n">
        <v>2024</v>
      </c>
      <c r="B9690" s="4" t="n">
        <v>9600</v>
      </c>
      <c r="C9690" s="4" t="n">
        <v>3182</v>
      </c>
      <c r="D9690" s="4" t="n">
        <v>962.5549999999999</v>
      </c>
      <c r="E9690" s="5" t="n">
        <v>10</v>
      </c>
      <c r="F9690" s="3" t="inlineStr">
        <is>
          <t>유구읍</t>
        </is>
      </c>
      <c r="G9690" s="3" t="inlineStr">
        <is>
          <t>문금리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유구읍</t>
        </is>
      </c>
    </row>
    <row r="9691">
      <c r="A9691" s="3" t="n">
        <v>2024</v>
      </c>
      <c r="B9691" s="4" t="n">
        <v>22200</v>
      </c>
      <c r="C9691" s="4" t="n">
        <v>1435</v>
      </c>
      <c r="D9691" s="4" t="n">
        <v>434.0875</v>
      </c>
      <c r="E9691" s="5" t="n">
        <v>51.1</v>
      </c>
      <c r="F9691" s="3" t="inlineStr">
        <is>
          <t>유구읍</t>
        </is>
      </c>
      <c r="G9691" s="3" t="inlineStr">
        <is>
          <t>구계리</t>
        </is>
      </c>
      <c r="H9691" s="3" t="inlineStr">
        <is>
          <t>일반상업지역</t>
        </is>
      </c>
      <c r="I9691" s="3" t="inlineStr">
        <is>
          <t>잡종지</t>
        </is>
      </c>
      <c r="J9691" s="3" t="inlineStr">
        <is>
          <t>유구읍</t>
        </is>
      </c>
    </row>
    <row r="9692">
      <c r="A9692" s="3" t="n">
        <v>2024</v>
      </c>
      <c r="B9692" s="4" t="n">
        <v>89400</v>
      </c>
      <c r="C9692" s="4" t="n">
        <v>5843</v>
      </c>
      <c r="D9692" s="4" t="n">
        <v>1767.5075</v>
      </c>
      <c r="E9692" s="5" t="n">
        <v>50.6</v>
      </c>
      <c r="F9692" s="3" t="inlineStr">
        <is>
          <t>유구읍</t>
        </is>
      </c>
      <c r="G9692" s="3" t="inlineStr">
        <is>
          <t>구계리</t>
        </is>
      </c>
      <c r="H9692" s="3" t="inlineStr">
        <is>
          <t>일반상업지역</t>
        </is>
      </c>
      <c r="I9692" s="3" t="inlineStr">
        <is>
          <t>잡종지</t>
        </is>
      </c>
      <c r="J9692" s="3" t="inlineStr">
        <is>
          <t>유구읍</t>
        </is>
      </c>
    </row>
    <row r="9693">
      <c r="A9693" s="3" t="n">
        <v>2024</v>
      </c>
      <c r="B9693" s="4" t="n">
        <v>11300</v>
      </c>
      <c r="C9693" s="4" t="n">
        <v>740</v>
      </c>
      <c r="D9693" s="4" t="n">
        <v>223.85</v>
      </c>
      <c r="E9693" s="5" t="n">
        <v>50.5</v>
      </c>
      <c r="F9693" s="3" t="inlineStr">
        <is>
          <t>유구읍</t>
        </is>
      </c>
      <c r="G9693" s="3" t="inlineStr">
        <is>
          <t>구계리</t>
        </is>
      </c>
      <c r="H9693" s="3" t="inlineStr">
        <is>
          <t>일반상업지역</t>
        </is>
      </c>
      <c r="I9693" s="3" t="inlineStr">
        <is>
          <t>잡종지</t>
        </is>
      </c>
      <c r="J9693" s="3" t="inlineStr">
        <is>
          <t>유구읍</t>
        </is>
      </c>
    </row>
    <row r="9694">
      <c r="A9694" s="3" t="n">
        <v>2024</v>
      </c>
      <c r="B9694" s="4" t="n">
        <v>12400</v>
      </c>
      <c r="C9694" s="4" t="n">
        <v>810</v>
      </c>
      <c r="D9694" s="4" t="n">
        <v>245.025</v>
      </c>
      <c r="E9694" s="5" t="n">
        <v>50.6</v>
      </c>
      <c r="F9694" s="3" t="inlineStr">
        <is>
          <t>유구읍</t>
        </is>
      </c>
      <c r="G9694" s="3" t="inlineStr">
        <is>
          <t>구계리</t>
        </is>
      </c>
      <c r="H9694" s="3" t="inlineStr">
        <is>
          <t>일반상업지역</t>
        </is>
      </c>
      <c r="I9694" s="3" t="inlineStr">
        <is>
          <t>잡종지</t>
        </is>
      </c>
      <c r="J9694" s="3" t="inlineStr">
        <is>
          <t>유구읍</t>
        </is>
      </c>
    </row>
    <row r="9695">
      <c r="A9695" s="3" t="n">
        <v>2024</v>
      </c>
      <c r="B9695" s="4" t="n">
        <v>14700</v>
      </c>
      <c r="C9695" s="4" t="n">
        <v>950</v>
      </c>
      <c r="D9695" s="4" t="n">
        <v>287.375</v>
      </c>
      <c r="E9695" s="5" t="n">
        <v>51.2</v>
      </c>
      <c r="F9695" s="3" t="inlineStr">
        <is>
          <t>유구읍</t>
        </is>
      </c>
      <c r="G9695" s="3" t="inlineStr">
        <is>
          <t>구계리</t>
        </is>
      </c>
      <c r="H9695" s="3" t="inlineStr">
        <is>
          <t>일반상업지역</t>
        </is>
      </c>
      <c r="I9695" s="3" t="inlineStr">
        <is>
          <t>대</t>
        </is>
      </c>
      <c r="J9695" s="3" t="inlineStr">
        <is>
          <t>유구읍</t>
        </is>
      </c>
    </row>
    <row r="9696">
      <c r="A9696" s="3" t="n">
        <v>2024</v>
      </c>
      <c r="B9696" s="4" t="n">
        <v>1535</v>
      </c>
      <c r="C9696" s="4" t="n">
        <v>217</v>
      </c>
      <c r="D9696" s="4" t="n">
        <v>65.6425</v>
      </c>
      <c r="E9696" s="5" t="n">
        <v>23.4</v>
      </c>
      <c r="F9696" s="3" t="inlineStr">
        <is>
          <t>유구읍</t>
        </is>
      </c>
      <c r="G9696" s="3" t="inlineStr">
        <is>
          <t>석남리</t>
        </is>
      </c>
      <c r="H9696" s="3" t="inlineStr">
        <is>
          <t>자연녹지지역</t>
        </is>
      </c>
      <c r="I9696" s="3" t="inlineStr">
        <is>
          <t>답</t>
        </is>
      </c>
      <c r="J9696" s="3" t="inlineStr">
        <is>
          <t>유구읍</t>
        </is>
      </c>
    </row>
    <row r="9697">
      <c r="A9697" s="3" t="n">
        <v>2024</v>
      </c>
      <c r="B9697" s="4" t="n">
        <v>1465</v>
      </c>
      <c r="C9697" s="4" t="n">
        <v>208</v>
      </c>
      <c r="D9697" s="4" t="n">
        <v>62.92</v>
      </c>
      <c r="E9697" s="5" t="n">
        <v>23.3</v>
      </c>
      <c r="F9697" s="3" t="inlineStr">
        <is>
          <t>유구읍</t>
        </is>
      </c>
      <c r="G9697" s="3" t="inlineStr">
        <is>
          <t>석남리</t>
        </is>
      </c>
      <c r="H9697" s="3" t="inlineStr">
        <is>
          <t>자연녹지지역</t>
        </is>
      </c>
      <c r="I9697" s="3" t="inlineStr">
        <is>
          <t>임야</t>
        </is>
      </c>
      <c r="J9697" s="3" t="inlineStr">
        <is>
          <t>유구읍</t>
        </is>
      </c>
    </row>
    <row r="9698">
      <c r="A9698" s="3" t="n">
        <v>2024</v>
      </c>
      <c r="B9698" s="4" t="n">
        <v>636</v>
      </c>
      <c r="C9698" s="4" t="n">
        <v>255</v>
      </c>
      <c r="D9698" s="4" t="n">
        <v>77.1375</v>
      </c>
      <c r="E9698" s="5" t="n">
        <v>8.199999999999999</v>
      </c>
      <c r="F9698" s="3" t="inlineStr">
        <is>
          <t>유구읍</t>
        </is>
      </c>
      <c r="G9698" s="3" t="inlineStr">
        <is>
          <t>동해리</t>
        </is>
      </c>
      <c r="H9698" s="3" t="inlineStr">
        <is>
          <t>계획관리지역</t>
        </is>
      </c>
      <c r="I9698" s="3" t="inlineStr">
        <is>
          <t>답</t>
        </is>
      </c>
      <c r="J9698" s="3" t="inlineStr">
        <is>
          <t>유구읍</t>
        </is>
      </c>
    </row>
    <row r="9699">
      <c r="A9699" s="3" t="n">
        <v>2024</v>
      </c>
      <c r="B9699" s="4" t="n">
        <v>51</v>
      </c>
      <c r="C9699" s="4" t="n">
        <v>60</v>
      </c>
      <c r="D9699" s="4" t="n">
        <v>18.15</v>
      </c>
      <c r="E9699" s="5" t="n">
        <v>2.8</v>
      </c>
      <c r="F9699" s="3" t="inlineStr">
        <is>
          <t>유구읍</t>
        </is>
      </c>
      <c r="G9699" s="3" t="inlineStr">
        <is>
          <t>동해리</t>
        </is>
      </c>
      <c r="H9699" s="3" t="inlineStr">
        <is>
          <t>계획관리지역</t>
        </is>
      </c>
      <c r="I9699" s="3" t="inlineStr">
        <is>
          <t>하천</t>
        </is>
      </c>
      <c r="J9699" s="3" t="inlineStr">
        <is>
          <t>유구읍</t>
        </is>
      </c>
    </row>
    <row r="9700">
      <c r="A9700" s="3" t="n">
        <v>2024</v>
      </c>
      <c r="B9700" s="4" t="n">
        <v>1311</v>
      </c>
      <c r="C9700" s="4" t="n">
        <v>565</v>
      </c>
      <c r="D9700" s="4" t="n">
        <v>170.9125</v>
      </c>
      <c r="E9700" s="5" t="n">
        <v>7.7</v>
      </c>
      <c r="F9700" s="3" t="inlineStr">
        <is>
          <t>유구읍</t>
        </is>
      </c>
      <c r="G9700" s="3" t="inlineStr">
        <is>
          <t>동해리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유구읍</t>
        </is>
      </c>
    </row>
    <row r="9701">
      <c r="A9701" s="3" t="n">
        <v>2024</v>
      </c>
      <c r="B9701" s="4" t="n">
        <v>183</v>
      </c>
      <c r="C9701" s="4" t="n">
        <v>79</v>
      </c>
      <c r="D9701" s="4" t="n">
        <v>23.8975</v>
      </c>
      <c r="E9701" s="5" t="n">
        <v>7.7</v>
      </c>
      <c r="F9701" s="3" t="inlineStr">
        <is>
          <t>유구읍</t>
        </is>
      </c>
      <c r="G9701" s="3" t="inlineStr">
        <is>
          <t>동해리</t>
        </is>
      </c>
      <c r="H9701" s="3" t="inlineStr">
        <is>
          <t>계획관리지역</t>
        </is>
      </c>
      <c r="I9701" s="3" t="inlineStr">
        <is>
          <t>전</t>
        </is>
      </c>
      <c r="J9701" s="3" t="inlineStr">
        <is>
          <t>유구읍</t>
        </is>
      </c>
    </row>
    <row r="9702">
      <c r="A9702" s="3" t="n">
        <v>2024</v>
      </c>
      <c r="B9702" s="4" t="n">
        <v>8673</v>
      </c>
      <c r="C9702" s="4" t="n">
        <v>1299</v>
      </c>
      <c r="D9702" s="4" t="n">
        <v>392.9475</v>
      </c>
      <c r="E9702" s="5" t="n">
        <v>22.1</v>
      </c>
      <c r="F9702" s="3" t="inlineStr">
        <is>
          <t>유구읍</t>
        </is>
      </c>
      <c r="G9702" s="3" t="inlineStr">
        <is>
          <t>문금리</t>
        </is>
      </c>
      <c r="H9702" s="3" t="inlineStr">
        <is>
          <t>계획관리지역</t>
        </is>
      </c>
      <c r="I9702" s="3" t="inlineStr">
        <is>
          <t>임야</t>
        </is>
      </c>
      <c r="J9702" s="3" t="inlineStr">
        <is>
          <t>유구읍</t>
        </is>
      </c>
    </row>
    <row r="9703">
      <c r="A9703" s="3" t="n">
        <v>2024</v>
      </c>
      <c r="B9703" s="4" t="n">
        <v>327</v>
      </c>
      <c r="C9703" s="4" t="n">
        <v>49</v>
      </c>
      <c r="D9703" s="4" t="n">
        <v>14.8225</v>
      </c>
      <c r="E9703" s="5" t="n">
        <v>22.1</v>
      </c>
      <c r="F9703" s="3" t="inlineStr">
        <is>
          <t>유구읍</t>
        </is>
      </c>
      <c r="G9703" s="3" t="inlineStr">
        <is>
          <t>문금리</t>
        </is>
      </c>
      <c r="H9703" s="3" t="inlineStr">
        <is>
          <t>계획관리지역</t>
        </is>
      </c>
      <c r="I9703" s="3" t="inlineStr">
        <is>
          <t>임야</t>
        </is>
      </c>
      <c r="J9703" s="3" t="inlineStr">
        <is>
          <t>유구읍</t>
        </is>
      </c>
    </row>
    <row r="9704">
      <c r="A9704" s="3" t="n">
        <v>2025</v>
      </c>
      <c r="B9704" s="4" t="n">
        <v>180</v>
      </c>
      <c r="C9704" s="4" t="n">
        <v>60</v>
      </c>
      <c r="D9704" s="4" t="n">
        <v>18.15</v>
      </c>
      <c r="E9704" s="5" t="n">
        <v>9.9</v>
      </c>
      <c r="F9704" s="3" t="inlineStr">
        <is>
          <t>유구읍</t>
        </is>
      </c>
      <c r="G9704" s="3" t="inlineStr">
        <is>
          <t>녹천리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유구읍</t>
        </is>
      </c>
    </row>
    <row r="9705">
      <c r="A9705" s="3" t="n">
        <v>2025</v>
      </c>
      <c r="B9705" s="4" t="n">
        <v>4000</v>
      </c>
      <c r="C9705" s="4" t="n">
        <v>581</v>
      </c>
      <c r="D9705" s="4" t="n">
        <v>175.7525</v>
      </c>
      <c r="E9705" s="5" t="n">
        <v>22.8</v>
      </c>
      <c r="F9705" s="3" t="inlineStr">
        <is>
          <t>유구읍</t>
        </is>
      </c>
      <c r="G9705" s="3" t="inlineStr">
        <is>
          <t>유구리</t>
        </is>
      </c>
      <c r="H9705" s="3" t="inlineStr">
        <is>
          <t>자연녹지지역</t>
        </is>
      </c>
      <c r="I9705" s="3" t="inlineStr">
        <is>
          <t>답</t>
        </is>
      </c>
      <c r="J9705" s="3" t="inlineStr">
        <is>
          <t>유구읍</t>
        </is>
      </c>
    </row>
    <row r="9706">
      <c r="A9706" s="3" t="n">
        <v>2025</v>
      </c>
      <c r="B9706" s="4" t="n">
        <v>12325</v>
      </c>
      <c r="C9706" s="4" t="n">
        <v>815</v>
      </c>
      <c r="D9706" s="4" t="n">
        <v>246.5375</v>
      </c>
      <c r="E9706" s="5" t="n">
        <v>50</v>
      </c>
      <c r="F9706" s="3" t="inlineStr">
        <is>
          <t>유구읍</t>
        </is>
      </c>
      <c r="G9706" s="3" t="inlineStr">
        <is>
          <t>유구리</t>
        </is>
      </c>
      <c r="H9706" s="3" t="inlineStr">
        <is>
          <t>자연녹지지역</t>
        </is>
      </c>
      <c r="I9706" s="3" t="inlineStr">
        <is>
          <t>전</t>
        </is>
      </c>
      <c r="J9706" s="3" t="inlineStr">
        <is>
          <t>유구읍</t>
        </is>
      </c>
    </row>
    <row r="9707">
      <c r="A9707" s="3" t="n">
        <v>2025</v>
      </c>
      <c r="B9707" s="4" t="n">
        <v>1045</v>
      </c>
      <c r="C9707" s="4" t="n">
        <v>201</v>
      </c>
      <c r="D9707" s="4" t="n">
        <v>60.80249999999999</v>
      </c>
      <c r="E9707" s="5" t="n">
        <v>17.2</v>
      </c>
      <c r="F9707" s="3" t="inlineStr">
        <is>
          <t>유구읍</t>
        </is>
      </c>
      <c r="G9707" s="3" t="inlineStr">
        <is>
          <t>유구리</t>
        </is>
      </c>
      <c r="H9707" s="3" t="inlineStr">
        <is>
          <t>계획관리지역</t>
        </is>
      </c>
      <c r="I9707" s="3" t="inlineStr">
        <is>
          <t>답</t>
        </is>
      </c>
      <c r="J9707" s="3" t="inlineStr">
        <is>
          <t>유구읍</t>
        </is>
      </c>
    </row>
    <row r="9708">
      <c r="A9708" s="3" t="n">
        <v>2025</v>
      </c>
      <c r="B9708" s="4" t="n">
        <v>65</v>
      </c>
      <c r="C9708" s="4" t="n">
        <v>13</v>
      </c>
      <c r="D9708" s="4" t="n">
        <v>3.9325</v>
      </c>
      <c r="E9708" s="5" t="n">
        <v>16.5</v>
      </c>
      <c r="F9708" s="3" t="inlineStr">
        <is>
          <t>유구읍</t>
        </is>
      </c>
      <c r="G9708" s="3" t="inlineStr">
        <is>
          <t>유구리</t>
        </is>
      </c>
      <c r="H9708" s="3" t="inlineStr">
        <is>
          <t>계획관리지역</t>
        </is>
      </c>
      <c r="I9708" s="3" t="inlineStr">
        <is>
          <t>답</t>
        </is>
      </c>
      <c r="J9708" s="3" t="inlineStr">
        <is>
          <t>유구읍</t>
        </is>
      </c>
    </row>
    <row r="9709">
      <c r="A9709" s="3" t="n">
        <v>2025</v>
      </c>
      <c r="B9709" s="4" t="n">
        <v>2330</v>
      </c>
      <c r="C9709" s="4" t="n">
        <v>448</v>
      </c>
      <c r="D9709" s="4" t="n">
        <v>135.52</v>
      </c>
      <c r="E9709" s="5" t="n">
        <v>17.2</v>
      </c>
      <c r="F9709" s="3" t="inlineStr">
        <is>
          <t>유구읍</t>
        </is>
      </c>
      <c r="G9709" s="3" t="inlineStr">
        <is>
          <t>유구리</t>
        </is>
      </c>
      <c r="H9709" s="3" t="inlineStr">
        <is>
          <t>계획관리지역</t>
        </is>
      </c>
      <c r="I9709" s="3" t="inlineStr">
        <is>
          <t>답</t>
        </is>
      </c>
      <c r="J9709" s="3" t="inlineStr">
        <is>
          <t>유구읍</t>
        </is>
      </c>
    </row>
    <row r="9710">
      <c r="A9710" s="3" t="n">
        <v>2025</v>
      </c>
      <c r="B9710" s="4" t="n">
        <v>1541</v>
      </c>
      <c r="C9710" s="4" t="n">
        <v>428</v>
      </c>
      <c r="D9710" s="4" t="n">
        <v>129.47</v>
      </c>
      <c r="E9710" s="5" t="n">
        <v>11.9</v>
      </c>
      <c r="F9710" s="3" t="inlineStr">
        <is>
          <t>유구읍</t>
        </is>
      </c>
      <c r="G9710" s="3" t="inlineStr">
        <is>
          <t>만천리</t>
        </is>
      </c>
      <c r="H9710" s="3" t="inlineStr">
        <is>
          <t>계획관리지역</t>
        </is>
      </c>
      <c r="I9710" s="3" t="inlineStr">
        <is>
          <t>답</t>
        </is>
      </c>
      <c r="J9710" s="3" t="inlineStr">
        <is>
          <t>유구읍</t>
        </is>
      </c>
    </row>
    <row r="9711">
      <c r="A9711" s="3" t="n">
        <v>2025</v>
      </c>
      <c r="B9711" s="4" t="n">
        <v>238</v>
      </c>
      <c r="C9711" s="4" t="n">
        <v>72</v>
      </c>
      <c r="D9711" s="4" t="n">
        <v>21.78</v>
      </c>
      <c r="E9711" s="5" t="n">
        <v>10.9</v>
      </c>
      <c r="F9711" s="3" t="inlineStr">
        <is>
          <t>유구읍</t>
        </is>
      </c>
      <c r="G9711" s="3" t="inlineStr">
        <is>
          <t>만천리</t>
        </is>
      </c>
      <c r="H9711" s="3" t="inlineStr">
        <is>
          <t>계획관리지역</t>
        </is>
      </c>
      <c r="I9711" s="3" t="inlineStr">
        <is>
          <t>답</t>
        </is>
      </c>
      <c r="J9711" s="3" t="inlineStr">
        <is>
          <t>유구읍</t>
        </is>
      </c>
    </row>
    <row r="9712">
      <c r="A9712" s="3" t="n">
        <v>2025</v>
      </c>
      <c r="B9712" s="4" t="n">
        <v>698</v>
      </c>
      <c r="C9712" s="4" t="n">
        <v>194</v>
      </c>
      <c r="D9712" s="4" t="n">
        <v>58.685</v>
      </c>
      <c r="E9712" s="5" t="n">
        <v>11.9</v>
      </c>
      <c r="F9712" s="3" t="inlineStr">
        <is>
          <t>유구읍</t>
        </is>
      </c>
      <c r="G9712" s="3" t="inlineStr">
        <is>
          <t>만천리</t>
        </is>
      </c>
      <c r="H9712" s="3" t="inlineStr">
        <is>
          <t>계획관리지역</t>
        </is>
      </c>
      <c r="I9712" s="3" t="inlineStr">
        <is>
          <t>답</t>
        </is>
      </c>
      <c r="J9712" s="3" t="inlineStr">
        <is>
          <t>유구읍</t>
        </is>
      </c>
    </row>
    <row r="9713">
      <c r="A9713" s="3" t="n">
        <v>2025</v>
      </c>
      <c r="B9713" s="4" t="n">
        <v>3690</v>
      </c>
      <c r="C9713" s="4" t="n">
        <v>900</v>
      </c>
      <c r="D9713" s="4" t="n">
        <v>272.25</v>
      </c>
      <c r="E9713" s="5" t="n">
        <v>13.6</v>
      </c>
      <c r="F9713" s="3" t="inlineStr">
        <is>
          <t>유구읍</t>
        </is>
      </c>
      <c r="G9713" s="3" t="inlineStr">
        <is>
          <t>만천리</t>
        </is>
      </c>
      <c r="H9713" s="3" t="inlineStr">
        <is>
          <t>계획관리지역</t>
        </is>
      </c>
      <c r="I9713" s="3" t="inlineStr">
        <is>
          <t>전</t>
        </is>
      </c>
      <c r="J9713" s="3" t="inlineStr">
        <is>
          <t>유구읍</t>
        </is>
      </c>
    </row>
    <row r="9714">
      <c r="A9714" s="3" t="n">
        <v>2025</v>
      </c>
      <c r="B9714" s="4" t="n">
        <v>6017</v>
      </c>
      <c r="C9714" s="4" t="n">
        <v>1719</v>
      </c>
      <c r="D9714" s="4" t="n">
        <v>519.9974999999999</v>
      </c>
      <c r="E9714" s="5" t="n">
        <v>11.6</v>
      </c>
      <c r="F9714" s="3" t="inlineStr">
        <is>
          <t>유구읍</t>
        </is>
      </c>
      <c r="G9714" s="3" t="inlineStr">
        <is>
          <t>신영리</t>
        </is>
      </c>
      <c r="H9714" s="3" t="inlineStr">
        <is>
          <t>농림지역</t>
        </is>
      </c>
      <c r="I9714" s="3" t="inlineStr">
        <is>
          <t>답</t>
        </is>
      </c>
      <c r="J9714" s="3" t="inlineStr">
        <is>
          <t>유구읍</t>
        </is>
      </c>
    </row>
    <row r="9715">
      <c r="A9715" s="3" t="n">
        <v>2025</v>
      </c>
      <c r="B9715" s="4" t="n">
        <v>18994</v>
      </c>
      <c r="C9715" s="4" t="n">
        <v>1887</v>
      </c>
      <c r="D9715" s="4" t="n">
        <v>570.8175</v>
      </c>
      <c r="E9715" s="5" t="n">
        <v>33.3</v>
      </c>
      <c r="F9715" s="3" t="inlineStr">
        <is>
          <t>유구읍</t>
        </is>
      </c>
      <c r="G9715" s="3" t="inlineStr">
        <is>
          <t>유구리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유구읍</t>
        </is>
      </c>
    </row>
    <row r="9716">
      <c r="A9716" s="3" t="n">
        <v>2025</v>
      </c>
      <c r="B9716" s="4" t="n">
        <v>3562</v>
      </c>
      <c r="C9716" s="4" t="n">
        <v>315</v>
      </c>
      <c r="D9716" s="4" t="n">
        <v>95.28749999999999</v>
      </c>
      <c r="E9716" s="5" t="n">
        <v>37.4</v>
      </c>
      <c r="F9716" s="3" t="inlineStr">
        <is>
          <t>유구읍</t>
        </is>
      </c>
      <c r="G9716" s="3" t="inlineStr">
        <is>
          <t>유구리</t>
        </is>
      </c>
      <c r="H9716" s="3" t="inlineStr">
        <is>
          <t>계획관리지역</t>
        </is>
      </c>
      <c r="I9716" s="3" t="inlineStr">
        <is>
          <t>전</t>
        </is>
      </c>
      <c r="J9716" s="3" t="inlineStr">
        <is>
          <t>유구읍</t>
        </is>
      </c>
    </row>
    <row r="9717">
      <c r="A9717" s="3" t="n">
        <v>2025</v>
      </c>
      <c r="B9717" s="4" t="n">
        <v>2700</v>
      </c>
      <c r="C9717" s="4" t="n">
        <v>730</v>
      </c>
      <c r="D9717" s="4" t="n">
        <v>220.825</v>
      </c>
      <c r="E9717" s="5" t="n">
        <v>12.2</v>
      </c>
      <c r="F9717" s="3" t="inlineStr">
        <is>
          <t>유구읍</t>
        </is>
      </c>
      <c r="G9717" s="3" t="inlineStr">
        <is>
          <t>유구리</t>
        </is>
      </c>
      <c r="H9717" s="3" t="inlineStr">
        <is>
          <t>계획관리지역</t>
        </is>
      </c>
      <c r="I9717" s="3" t="inlineStr">
        <is>
          <t>임야</t>
        </is>
      </c>
      <c r="J9717" s="3" t="inlineStr">
        <is>
          <t>유구읍</t>
        </is>
      </c>
    </row>
    <row r="9718">
      <c r="A9718" s="3" t="n">
        <v>2025</v>
      </c>
      <c r="B9718" s="4" t="n">
        <v>15450</v>
      </c>
      <c r="C9718" s="4" t="n">
        <v>1023</v>
      </c>
      <c r="D9718" s="4" t="n">
        <v>309.4575</v>
      </c>
      <c r="E9718" s="5" t="n">
        <v>49.9</v>
      </c>
      <c r="F9718" s="3" t="inlineStr">
        <is>
          <t>유구읍</t>
        </is>
      </c>
      <c r="G9718" s="3" t="inlineStr">
        <is>
          <t>구계리</t>
        </is>
      </c>
      <c r="H9718" s="3" t="inlineStr">
        <is>
          <t>보전관리지역</t>
        </is>
      </c>
      <c r="I9718" s="3" t="inlineStr">
        <is>
          <t>전</t>
        </is>
      </c>
      <c r="J9718" s="3" t="inlineStr">
        <is>
          <t>유구읍</t>
        </is>
      </c>
    </row>
    <row r="9719">
      <c r="A9719" s="3" t="n">
        <v>2025</v>
      </c>
      <c r="B9719" s="4" t="n">
        <v>30</v>
      </c>
      <c r="C9719" s="4" t="n">
        <v>7</v>
      </c>
      <c r="D9719" s="4" t="n">
        <v>2.1175</v>
      </c>
      <c r="E9719" s="5" t="n">
        <v>14.2</v>
      </c>
      <c r="F9719" s="3" t="inlineStr">
        <is>
          <t>유구읍</t>
        </is>
      </c>
      <c r="G9719" s="3" t="inlineStr">
        <is>
          <t>구계리</t>
        </is>
      </c>
      <c r="H9719" s="3" t="inlineStr">
        <is>
          <t>보전관리지역</t>
        </is>
      </c>
      <c r="I9719" s="3" t="inlineStr">
        <is>
          <t>도로</t>
        </is>
      </c>
      <c r="J9719" s="3" t="inlineStr">
        <is>
          <t>유구읍</t>
        </is>
      </c>
    </row>
    <row r="9720">
      <c r="A9720" s="3" t="n">
        <v>2025</v>
      </c>
      <c r="B9720" s="4" t="n">
        <v>4000</v>
      </c>
      <c r="C9720" s="4" t="n">
        <v>400</v>
      </c>
      <c r="D9720" s="4" t="n">
        <v>121</v>
      </c>
      <c r="E9720" s="5" t="n">
        <v>33.1</v>
      </c>
      <c r="F9720" s="3" t="inlineStr">
        <is>
          <t>유구읍</t>
        </is>
      </c>
      <c r="G9720" s="3" t="inlineStr">
        <is>
          <t>신영리</t>
        </is>
      </c>
      <c r="H9720" s="3" t="inlineStr">
        <is>
          <t>보전관리지역</t>
        </is>
      </c>
      <c r="I9720" s="3" t="inlineStr">
        <is>
          <t>대</t>
        </is>
      </c>
      <c r="J9720" s="3" t="inlineStr">
        <is>
          <t>유구읍</t>
        </is>
      </c>
    </row>
    <row r="9721">
      <c r="A9721" s="3" t="n">
        <v>2025</v>
      </c>
      <c r="B9721" s="4" t="n">
        <v>7000</v>
      </c>
      <c r="C9721" s="4" t="n">
        <v>675</v>
      </c>
      <c r="D9721" s="4" t="n">
        <v>204.1875</v>
      </c>
      <c r="E9721" s="5" t="n">
        <v>34.3</v>
      </c>
      <c r="F9721" s="3" t="inlineStr">
        <is>
          <t>유구읍</t>
        </is>
      </c>
      <c r="G9721" s="3" t="inlineStr">
        <is>
          <t>신영리</t>
        </is>
      </c>
      <c r="H9721" s="3" t="inlineStr">
        <is>
          <t>보전관리지역</t>
        </is>
      </c>
      <c r="I9721" s="3" t="inlineStr">
        <is>
          <t>대</t>
        </is>
      </c>
      <c r="J9721" s="3" t="inlineStr">
        <is>
          <t>유구읍</t>
        </is>
      </c>
    </row>
    <row r="9722">
      <c r="A9722" s="3" t="n">
        <v>2025</v>
      </c>
      <c r="B9722" s="4" t="n">
        <v>8500</v>
      </c>
      <c r="C9722" s="4" t="n">
        <v>1064</v>
      </c>
      <c r="D9722" s="4" t="n">
        <v>321.86</v>
      </c>
      <c r="E9722" s="5" t="n">
        <v>26.4</v>
      </c>
      <c r="F9722" s="3" t="inlineStr">
        <is>
          <t>유구읍</t>
        </is>
      </c>
      <c r="G9722" s="3" t="inlineStr">
        <is>
          <t>신영리</t>
        </is>
      </c>
      <c r="H9722" s="3" t="inlineStr">
        <is>
          <t>보전관리지역</t>
        </is>
      </c>
      <c r="I9722" s="3" t="inlineStr">
        <is>
          <t>답</t>
        </is>
      </c>
      <c r="J9722" s="3" t="inlineStr">
        <is>
          <t>유구읍</t>
        </is>
      </c>
    </row>
    <row r="9723">
      <c r="A9723" s="3" t="n">
        <v>2025</v>
      </c>
      <c r="B9723" s="4" t="n">
        <v>3500</v>
      </c>
      <c r="C9723" s="4" t="n">
        <v>458</v>
      </c>
      <c r="D9723" s="4" t="n">
        <v>138.545</v>
      </c>
      <c r="E9723" s="5" t="n">
        <v>25.3</v>
      </c>
      <c r="F9723" s="3" t="inlineStr">
        <is>
          <t>유구읍</t>
        </is>
      </c>
      <c r="G9723" s="3" t="inlineStr">
        <is>
          <t>신영리</t>
        </is>
      </c>
      <c r="H9723" s="3" t="inlineStr">
        <is>
          <t>보전관리지역</t>
        </is>
      </c>
      <c r="I9723" s="3" t="inlineStr">
        <is>
          <t>답</t>
        </is>
      </c>
      <c r="J9723" s="3" t="inlineStr">
        <is>
          <t>유구읍</t>
        </is>
      </c>
    </row>
    <row r="9724">
      <c r="A9724" s="3" t="n">
        <v>2025</v>
      </c>
      <c r="B9724" s="4" t="n">
        <v>531</v>
      </c>
      <c r="C9724" s="4" t="n">
        <v>117</v>
      </c>
      <c r="D9724" s="4" t="n">
        <v>35.3925</v>
      </c>
      <c r="E9724" s="5" t="n">
        <v>15</v>
      </c>
      <c r="F9724" s="3" t="inlineStr">
        <is>
          <t>유구읍</t>
        </is>
      </c>
      <c r="G9724" s="3" t="inlineStr">
        <is>
          <t>문금리</t>
        </is>
      </c>
      <c r="H9724" s="3" t="inlineStr">
        <is>
          <t>계획관리지역</t>
        </is>
      </c>
      <c r="I9724" s="3" t="inlineStr">
        <is>
          <t>답</t>
        </is>
      </c>
      <c r="J9724" s="3" t="inlineStr">
        <is>
          <t>유구읍</t>
        </is>
      </c>
    </row>
    <row r="9725">
      <c r="A9725" s="3" t="n">
        <v>2025</v>
      </c>
      <c r="B9725" s="4" t="n">
        <v>1498</v>
      </c>
      <c r="C9725" s="4" t="n">
        <v>330</v>
      </c>
      <c r="D9725" s="4" t="n">
        <v>99.825</v>
      </c>
      <c r="E9725" s="5" t="n">
        <v>15</v>
      </c>
      <c r="F9725" s="3" t="inlineStr">
        <is>
          <t>유구읍</t>
        </is>
      </c>
      <c r="G9725" s="3" t="inlineStr">
        <is>
          <t>문금리</t>
        </is>
      </c>
      <c r="H9725" s="3" t="inlineStr">
        <is>
          <t>계획관리지역</t>
        </is>
      </c>
      <c r="I9725" s="3" t="inlineStr">
        <is>
          <t>답</t>
        </is>
      </c>
      <c r="J9725" s="3" t="inlineStr">
        <is>
          <t>유구읍</t>
        </is>
      </c>
    </row>
    <row r="9726">
      <c r="A9726" s="3" t="n">
        <v>2025</v>
      </c>
      <c r="B9726" s="4" t="n">
        <v>108</v>
      </c>
      <c r="C9726" s="4" t="n">
        <v>24</v>
      </c>
      <c r="D9726" s="4" t="n">
        <v>7.26</v>
      </c>
      <c r="E9726" s="5" t="n">
        <v>14.9</v>
      </c>
      <c r="F9726" s="3" t="inlineStr">
        <is>
          <t>유구읍</t>
        </is>
      </c>
      <c r="G9726" s="3" t="inlineStr">
        <is>
          <t>문금리</t>
        </is>
      </c>
      <c r="H9726" s="3" t="inlineStr">
        <is>
          <t>계획관리지역</t>
        </is>
      </c>
      <c r="I9726" s="3" t="inlineStr">
        <is>
          <t>답</t>
        </is>
      </c>
      <c r="J9726" s="3" t="inlineStr">
        <is>
          <t>유구읍</t>
        </is>
      </c>
    </row>
    <row r="9727">
      <c r="A9727" s="3" t="n">
        <v>2025</v>
      </c>
      <c r="B9727" s="4" t="n">
        <v>2477</v>
      </c>
      <c r="C9727" s="4" t="n">
        <v>546</v>
      </c>
      <c r="D9727" s="4" t="n">
        <v>165.165</v>
      </c>
      <c r="E9727" s="5" t="n">
        <v>15</v>
      </c>
      <c r="F9727" s="3" t="inlineStr">
        <is>
          <t>유구읍</t>
        </is>
      </c>
      <c r="G9727" s="3" t="inlineStr">
        <is>
          <t>문금리</t>
        </is>
      </c>
      <c r="H9727" s="3" t="inlineStr">
        <is>
          <t>계획관리지역</t>
        </is>
      </c>
      <c r="I9727" s="3" t="inlineStr">
        <is>
          <t>답</t>
        </is>
      </c>
      <c r="J9727" s="3" t="inlineStr">
        <is>
          <t>유구읍</t>
        </is>
      </c>
    </row>
    <row r="9728">
      <c r="A9728" s="3" t="n">
        <v>2025</v>
      </c>
      <c r="B9728" s="4" t="n">
        <v>1130</v>
      </c>
      <c r="C9728" s="4" t="n">
        <v>249</v>
      </c>
      <c r="D9728" s="4" t="n">
        <v>75.32249999999999</v>
      </c>
      <c r="E9728" s="5" t="n">
        <v>15</v>
      </c>
      <c r="F9728" s="3" t="inlineStr">
        <is>
          <t>유구읍</t>
        </is>
      </c>
      <c r="G9728" s="3" t="inlineStr">
        <is>
          <t>문금리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유구읍</t>
        </is>
      </c>
    </row>
    <row r="9729">
      <c r="A9729" s="3" t="n">
        <v>2025</v>
      </c>
      <c r="B9729" s="4" t="n">
        <v>217</v>
      </c>
      <c r="C9729" s="4" t="n">
        <v>48</v>
      </c>
      <c r="D9729" s="4" t="n">
        <v>14.52</v>
      </c>
      <c r="E9729" s="5" t="n">
        <v>14.9</v>
      </c>
      <c r="F9729" s="3" t="inlineStr">
        <is>
          <t>유구읍</t>
        </is>
      </c>
      <c r="G9729" s="3" t="inlineStr">
        <is>
          <t>문금리</t>
        </is>
      </c>
      <c r="H9729" s="3" t="inlineStr">
        <is>
          <t>계획관리지역</t>
        </is>
      </c>
      <c r="I9729" s="3" t="inlineStr">
        <is>
          <t>답</t>
        </is>
      </c>
      <c r="J9729" s="3" t="inlineStr">
        <is>
          <t>유구읍</t>
        </is>
      </c>
    </row>
    <row r="9730">
      <c r="A9730" s="3" t="n">
        <v>2025</v>
      </c>
      <c r="B9730" s="4" t="n">
        <v>1279</v>
      </c>
      <c r="C9730" s="4" t="n">
        <v>282</v>
      </c>
      <c r="D9730" s="4" t="n">
        <v>85.30499999999999</v>
      </c>
      <c r="E9730" s="5" t="n">
        <v>15</v>
      </c>
      <c r="F9730" s="3" t="inlineStr">
        <is>
          <t>유구읍</t>
        </is>
      </c>
      <c r="G9730" s="3" t="inlineStr">
        <is>
          <t>문금리</t>
        </is>
      </c>
      <c r="H9730" s="3" t="inlineStr">
        <is>
          <t>계획관리지역</t>
        </is>
      </c>
      <c r="I9730" s="3" t="inlineStr">
        <is>
          <t>답</t>
        </is>
      </c>
      <c r="J9730" s="3" t="inlineStr">
        <is>
          <t>유구읍</t>
        </is>
      </c>
    </row>
    <row r="9731">
      <c r="A9731" s="3" t="n">
        <v>2025</v>
      </c>
      <c r="B9731" s="4" t="n">
        <v>1756</v>
      </c>
      <c r="C9731" s="4" t="n">
        <v>387</v>
      </c>
      <c r="D9731" s="4" t="n">
        <v>117.0675</v>
      </c>
      <c r="E9731" s="5" t="n">
        <v>15</v>
      </c>
      <c r="F9731" s="3" t="inlineStr">
        <is>
          <t>유구읍</t>
        </is>
      </c>
      <c r="G9731" s="3" t="inlineStr">
        <is>
          <t>문금리</t>
        </is>
      </c>
      <c r="H9731" s="3" t="inlineStr">
        <is>
          <t>계획관리지역</t>
        </is>
      </c>
      <c r="I9731" s="3" t="inlineStr">
        <is>
          <t>답</t>
        </is>
      </c>
      <c r="J9731" s="3" t="inlineStr">
        <is>
          <t>유구읍</t>
        </is>
      </c>
    </row>
    <row r="9732">
      <c r="A9732" s="3" t="n">
        <v>2025</v>
      </c>
      <c r="B9732" s="4" t="n">
        <v>7410</v>
      </c>
      <c r="C9732" s="4" t="n">
        <v>600</v>
      </c>
      <c r="D9732" s="4" t="n">
        <v>181.5</v>
      </c>
      <c r="E9732" s="5" t="n">
        <v>40.8</v>
      </c>
      <c r="F9732" s="3" t="inlineStr">
        <is>
          <t>유구읍</t>
        </is>
      </c>
      <c r="G9732" s="3" t="inlineStr">
        <is>
          <t>명곡리</t>
        </is>
      </c>
      <c r="H9732" s="3" t="inlineStr">
        <is>
          <t>계획관리지역</t>
        </is>
      </c>
      <c r="I9732" s="3" t="inlineStr">
        <is>
          <t>답</t>
        </is>
      </c>
      <c r="J9732" s="3" t="inlineStr">
        <is>
          <t>유구읍</t>
        </is>
      </c>
    </row>
    <row r="9733">
      <c r="A9733" s="3" t="n">
        <v>2025</v>
      </c>
      <c r="B9733" s="4" t="n">
        <v>450</v>
      </c>
      <c r="C9733" s="4" t="n">
        <v>298</v>
      </c>
      <c r="D9733" s="4" t="n">
        <v>90.145</v>
      </c>
      <c r="E9733" s="5" t="n">
        <v>5</v>
      </c>
      <c r="F9733" s="3" t="inlineStr">
        <is>
          <t>유구읍</t>
        </is>
      </c>
      <c r="G9733" s="3" t="inlineStr">
        <is>
          <t>백교리</t>
        </is>
      </c>
      <c r="H9733" s="3" t="inlineStr">
        <is>
          <t>계획관리지역</t>
        </is>
      </c>
      <c r="I9733" s="3" t="inlineStr">
        <is>
          <t>답</t>
        </is>
      </c>
      <c r="J9733" s="3" t="inlineStr">
        <is>
          <t>유구읍</t>
        </is>
      </c>
    </row>
    <row r="9734">
      <c r="A9734" s="3" t="n">
        <v>2025</v>
      </c>
      <c r="B9734" s="4" t="n">
        <v>10581</v>
      </c>
      <c r="C9734" s="4" t="n">
        <v>2175</v>
      </c>
      <c r="D9734" s="4" t="n">
        <v>657.9375</v>
      </c>
      <c r="E9734" s="5" t="n">
        <v>16.1</v>
      </c>
      <c r="F9734" s="3" t="inlineStr">
        <is>
          <t>유구읍</t>
        </is>
      </c>
      <c r="G9734" s="3" t="inlineStr">
        <is>
          <t>연종리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유구읍</t>
        </is>
      </c>
    </row>
    <row r="9735">
      <c r="A9735" s="3" t="n">
        <v>2025</v>
      </c>
      <c r="B9735" s="4" t="n">
        <v>20785</v>
      </c>
      <c r="C9735" s="4" t="n">
        <v>4258</v>
      </c>
      <c r="D9735" s="4" t="n">
        <v>1288.045</v>
      </c>
      <c r="E9735" s="5" t="n">
        <v>16.1</v>
      </c>
      <c r="F9735" s="3" t="inlineStr">
        <is>
          <t>유구읍</t>
        </is>
      </c>
      <c r="G9735" s="3" t="inlineStr">
        <is>
          <t>연종리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유구읍</t>
        </is>
      </c>
    </row>
    <row r="9736">
      <c r="A9736" s="3" t="n">
        <v>2025</v>
      </c>
      <c r="B9736" s="4" t="n">
        <v>1134</v>
      </c>
      <c r="C9736" s="4" t="n">
        <v>238</v>
      </c>
      <c r="D9736" s="4" t="n">
        <v>71.995</v>
      </c>
      <c r="E9736" s="5" t="n">
        <v>15.8</v>
      </c>
      <c r="F9736" s="3" t="inlineStr">
        <is>
          <t>유구읍</t>
        </is>
      </c>
      <c r="G9736" s="3" t="inlineStr">
        <is>
          <t>연종리</t>
        </is>
      </c>
      <c r="H9736" s="3" t="inlineStr">
        <is>
          <t>계획관리지역</t>
        </is>
      </c>
      <c r="I9736" s="3" t="inlineStr">
        <is>
          <t>답</t>
        </is>
      </c>
      <c r="J9736" s="3" t="inlineStr">
        <is>
          <t>유구읍</t>
        </is>
      </c>
    </row>
    <row r="9737">
      <c r="A9737" s="3" t="n">
        <v>2025</v>
      </c>
      <c r="B9737" s="4" t="n">
        <v>3401</v>
      </c>
      <c r="C9737" s="4" t="n">
        <v>681</v>
      </c>
      <c r="D9737" s="4" t="n">
        <v>206.0025</v>
      </c>
      <c r="E9737" s="5" t="n">
        <v>16.5</v>
      </c>
      <c r="F9737" s="3" t="inlineStr">
        <is>
          <t>유구읍</t>
        </is>
      </c>
      <c r="G9737" s="3" t="inlineStr">
        <is>
          <t>연종리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유구읍</t>
        </is>
      </c>
    </row>
    <row r="9738">
      <c r="A9738" s="3" t="n">
        <v>2025</v>
      </c>
      <c r="B9738" s="4" t="n">
        <v>1890</v>
      </c>
      <c r="C9738" s="4" t="n">
        <v>456</v>
      </c>
      <c r="D9738" s="4" t="n">
        <v>137.94</v>
      </c>
      <c r="E9738" s="5" t="n">
        <v>13.7</v>
      </c>
      <c r="F9738" s="3" t="inlineStr">
        <is>
          <t>유구읍</t>
        </is>
      </c>
      <c r="G9738" s="3" t="inlineStr">
        <is>
          <t>연종리</t>
        </is>
      </c>
      <c r="H9738" s="3" t="inlineStr">
        <is>
          <t>계획관리지역</t>
        </is>
      </c>
      <c r="I9738" s="3" t="inlineStr">
        <is>
          <t>답</t>
        </is>
      </c>
      <c r="J9738" s="3" t="inlineStr">
        <is>
          <t>유구읍</t>
        </is>
      </c>
    </row>
    <row r="9739">
      <c r="A9739" s="3" t="n">
        <v>2025</v>
      </c>
      <c r="B9739" s="4" t="n">
        <v>5000</v>
      </c>
      <c r="C9739" s="4" t="n">
        <v>1577</v>
      </c>
      <c r="D9739" s="4" t="n">
        <v>477.0425</v>
      </c>
      <c r="E9739" s="5" t="n">
        <v>10.5</v>
      </c>
      <c r="F9739" s="3" t="inlineStr">
        <is>
          <t>유구읍</t>
        </is>
      </c>
      <c r="G9739" s="3" t="inlineStr">
        <is>
          <t>신달리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유구읍</t>
        </is>
      </c>
    </row>
    <row r="9740">
      <c r="A9740" s="3" t="n">
        <v>2025</v>
      </c>
      <c r="B9740" s="4" t="n">
        <v>2200</v>
      </c>
      <c r="C9740" s="4" t="n">
        <v>390</v>
      </c>
      <c r="D9740" s="4" t="n">
        <v>117.975</v>
      </c>
      <c r="E9740" s="5" t="n">
        <v>18.6</v>
      </c>
      <c r="F9740" s="3" t="inlineStr">
        <is>
          <t>유구읍</t>
        </is>
      </c>
      <c r="G9740" s="3" t="inlineStr">
        <is>
          <t>세동리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유구읍</t>
        </is>
      </c>
    </row>
    <row r="9741">
      <c r="A9741" s="3" t="n">
        <v>2025</v>
      </c>
      <c r="B9741" s="4" t="n">
        <v>4500</v>
      </c>
      <c r="C9741" s="4" t="n">
        <v>1480</v>
      </c>
      <c r="D9741" s="4" t="n">
        <v>447.7</v>
      </c>
      <c r="E9741" s="5" t="n">
        <v>10.1</v>
      </c>
      <c r="F9741" s="3" t="inlineStr">
        <is>
          <t>유구읍</t>
        </is>
      </c>
      <c r="G9741" s="3" t="inlineStr">
        <is>
          <t>신달리</t>
        </is>
      </c>
      <c r="H9741" s="3" t="inlineStr">
        <is>
          <t>농림지역</t>
        </is>
      </c>
      <c r="I9741" s="3" t="inlineStr">
        <is>
          <t>잡종지</t>
        </is>
      </c>
      <c r="J9741" s="3" t="inlineStr">
        <is>
          <t>유구읍</t>
        </is>
      </c>
    </row>
    <row r="9742">
      <c r="A9742" s="3" t="n">
        <v>2025</v>
      </c>
      <c r="B9742" s="4" t="n">
        <v>4500</v>
      </c>
      <c r="C9742" s="4" t="n">
        <v>1480</v>
      </c>
      <c r="D9742" s="4" t="n">
        <v>447.7</v>
      </c>
      <c r="E9742" s="5" t="n">
        <v>10.1</v>
      </c>
      <c r="F9742" s="3" t="inlineStr">
        <is>
          <t>유구읍</t>
        </is>
      </c>
      <c r="G9742" s="3" t="inlineStr">
        <is>
          <t>신달리</t>
        </is>
      </c>
      <c r="H9742" s="3" t="inlineStr">
        <is>
          <t>농림지역</t>
        </is>
      </c>
      <c r="I9742" s="3" t="inlineStr">
        <is>
          <t>잡종지</t>
        </is>
      </c>
      <c r="J9742" s="3" t="inlineStr">
        <is>
          <t>유구읍</t>
        </is>
      </c>
    </row>
    <row r="9743">
      <c r="A9743" s="3" t="n">
        <v>2023</v>
      </c>
      <c r="B9743" s="4" t="n">
        <v>6400</v>
      </c>
      <c r="C9743" s="4" t="n">
        <v>210</v>
      </c>
      <c r="D9743" s="4" t="n">
        <v>63.525</v>
      </c>
      <c r="E9743" s="5" t="n">
        <v>100.7</v>
      </c>
      <c r="F9743" s="3" t="inlineStr">
        <is>
          <t>금남면</t>
        </is>
      </c>
      <c r="G9743" s="3" t="inlineStr">
        <is>
          <t>대박리</t>
        </is>
      </c>
      <c r="H9743" s="3" t="inlineStr">
        <is>
          <t>자연녹지지역</t>
        </is>
      </c>
      <c r="I9743" s="3" t="inlineStr">
        <is>
          <t>전</t>
        </is>
      </c>
      <c r="J9743" s="3" t="inlineStr">
        <is>
          <t>금남면</t>
        </is>
      </c>
    </row>
    <row r="9744">
      <c r="A9744" s="3" t="n">
        <v>2023</v>
      </c>
      <c r="B9744" s="4" t="n">
        <v>5000</v>
      </c>
      <c r="C9744" s="4" t="n">
        <v>1157</v>
      </c>
      <c r="D9744" s="4" t="n">
        <v>349.9925</v>
      </c>
      <c r="E9744" s="5" t="n">
        <v>14.3</v>
      </c>
      <c r="F9744" s="3" t="inlineStr">
        <is>
          <t>전동면</t>
        </is>
      </c>
      <c r="G9744" s="3" t="inlineStr">
        <is>
          <t>봉대리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전동면</t>
        </is>
      </c>
    </row>
    <row r="9745">
      <c r="A9745" s="3" t="n">
        <v>2023</v>
      </c>
      <c r="B9745" s="4" t="n">
        <v>35000</v>
      </c>
      <c r="C9745" s="4" t="n">
        <v>489</v>
      </c>
      <c r="D9745" s="4" t="n">
        <v>147.9225</v>
      </c>
      <c r="E9745" s="5" t="n">
        <v>236.6</v>
      </c>
      <c r="F9745" s="3" t="inlineStr">
        <is>
          <t>금남면</t>
        </is>
      </c>
      <c r="G9745" s="3" t="inlineStr">
        <is>
          <t>도남리</t>
        </is>
      </c>
      <c r="H9745" s="3" t="inlineStr">
        <is>
          <t>계획관리지역</t>
        </is>
      </c>
      <c r="I9745" s="3" t="inlineStr">
        <is>
          <t>대</t>
        </is>
      </c>
      <c r="J9745" s="3" t="inlineStr">
        <is>
          <t>금남면</t>
        </is>
      </c>
    </row>
    <row r="9746">
      <c r="A9746" s="3" t="n">
        <v>2023</v>
      </c>
      <c r="B9746" s="4" t="n">
        <v>36935</v>
      </c>
      <c r="C9746" s="4" t="n">
        <v>310</v>
      </c>
      <c r="D9746" s="4" t="n">
        <v>93.77499999999999</v>
      </c>
      <c r="E9746" s="5" t="n">
        <v>393.9</v>
      </c>
      <c r="F9746" s="3" t="inlineStr">
        <is>
          <t>조치원읍</t>
        </is>
      </c>
      <c r="G9746" s="3" t="inlineStr">
        <is>
          <t>신흥리</t>
        </is>
      </c>
      <c r="H9746" s="3" t="inlineStr">
        <is>
          <t>제2종일반주거지역</t>
        </is>
      </c>
      <c r="I9746" s="3" t="inlineStr">
        <is>
          <t>전</t>
        </is>
      </c>
      <c r="J9746" s="3" t="inlineStr">
        <is>
          <t>조치원읍</t>
        </is>
      </c>
    </row>
    <row r="9747">
      <c r="A9747" s="3" t="n">
        <v>2023</v>
      </c>
      <c r="B9747" s="4" t="n">
        <v>27642</v>
      </c>
      <c r="C9747" s="4" t="n">
        <v>232</v>
      </c>
      <c r="D9747" s="4" t="n">
        <v>70.17999999999999</v>
      </c>
      <c r="E9747" s="5" t="n">
        <v>393.9</v>
      </c>
      <c r="F9747" s="3" t="inlineStr">
        <is>
          <t>조치원읍</t>
        </is>
      </c>
      <c r="G9747" s="3" t="inlineStr">
        <is>
          <t>신흥리</t>
        </is>
      </c>
      <c r="H9747" s="3" t="inlineStr">
        <is>
          <t>제2종일반주거지역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15423</v>
      </c>
      <c r="C9748" s="4" t="n">
        <v>165</v>
      </c>
      <c r="D9748" s="4" t="n">
        <v>49.9125</v>
      </c>
      <c r="E9748" s="5" t="n">
        <v>309</v>
      </c>
      <c r="F9748" s="3" t="inlineStr">
        <is>
          <t>조치원읍</t>
        </is>
      </c>
      <c r="G9748" s="3" t="inlineStr">
        <is>
          <t>신흥리</t>
        </is>
      </c>
      <c r="H9748" s="3" t="inlineStr">
        <is>
          <t>제2종일반주거지역</t>
        </is>
      </c>
      <c r="I9748" s="3" t="inlineStr">
        <is>
          <t>전</t>
        </is>
      </c>
      <c r="J9748" s="3" t="inlineStr">
        <is>
          <t>조치원읍</t>
        </is>
      </c>
    </row>
    <row r="9749">
      <c r="A9749" s="3" t="n">
        <v>2023</v>
      </c>
      <c r="B9749" s="4" t="n">
        <v>22210</v>
      </c>
      <c r="C9749" s="4" t="n">
        <v>1049</v>
      </c>
      <c r="D9749" s="4" t="n">
        <v>317.3225</v>
      </c>
      <c r="E9749" s="5" t="n">
        <v>70</v>
      </c>
      <c r="F9749" s="3" t="inlineStr">
        <is>
          <t>금남면</t>
        </is>
      </c>
      <c r="G9749" s="3" t="inlineStr">
        <is>
          <t>영대리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금남면</t>
        </is>
      </c>
    </row>
    <row r="9750">
      <c r="A9750" s="3" t="n">
        <v>2023</v>
      </c>
      <c r="B9750" s="4" t="n">
        <v>30000</v>
      </c>
      <c r="C9750" s="4" t="n">
        <v>1321</v>
      </c>
      <c r="D9750" s="4" t="n">
        <v>399.6025</v>
      </c>
      <c r="E9750" s="5" t="n">
        <v>75.09999999999999</v>
      </c>
      <c r="F9750" s="3" t="inlineStr">
        <is>
          <t>부강면</t>
        </is>
      </c>
      <c r="G9750" s="3" t="inlineStr">
        <is>
          <t>금호리</t>
        </is>
      </c>
      <c r="H9750" s="3" t="inlineStr">
        <is>
          <t>생산관리지역</t>
        </is>
      </c>
      <c r="I9750" s="3" t="inlineStr">
        <is>
          <t>전</t>
        </is>
      </c>
      <c r="J9750" s="3" t="inlineStr">
        <is>
          <t>부강면</t>
        </is>
      </c>
    </row>
    <row r="9751">
      <c r="A9751" s="3" t="n">
        <v>2023</v>
      </c>
      <c r="B9751" s="4" t="n">
        <v>95000</v>
      </c>
      <c r="C9751" s="4" t="n">
        <v>2686</v>
      </c>
      <c r="D9751" s="4" t="n">
        <v>812.515</v>
      </c>
      <c r="E9751" s="5" t="n">
        <v>116.9</v>
      </c>
      <c r="F9751" s="3" t="inlineStr">
        <is>
          <t>연서면</t>
        </is>
      </c>
      <c r="G9751" s="3" t="inlineStr">
        <is>
          <t>신대리</t>
        </is>
      </c>
      <c r="H9751" s="3" t="inlineStr">
        <is>
          <t>계획관리지역</t>
        </is>
      </c>
      <c r="I9751" s="3" t="inlineStr">
        <is>
          <t>잡종지</t>
        </is>
      </c>
      <c r="J9751" s="3" t="inlineStr">
        <is>
          <t>연서면</t>
        </is>
      </c>
    </row>
    <row r="9752">
      <c r="A9752" s="3" t="n">
        <v>2023</v>
      </c>
      <c r="B9752" s="4" t="n">
        <v>11300</v>
      </c>
      <c r="C9752" s="4" t="n">
        <v>473</v>
      </c>
      <c r="D9752" s="4" t="n">
        <v>143.0825</v>
      </c>
      <c r="E9752" s="5" t="n">
        <v>79</v>
      </c>
      <c r="F9752" s="3" t="inlineStr">
        <is>
          <t>연서면</t>
        </is>
      </c>
      <c r="G9752" s="3" t="inlineStr">
        <is>
          <t>신대리</t>
        </is>
      </c>
      <c r="H9752" s="3" t="inlineStr">
        <is>
          <t>보전관리지역</t>
        </is>
      </c>
      <c r="I9752" s="3" t="inlineStr">
        <is>
          <t>답</t>
        </is>
      </c>
      <c r="J9752" s="3" t="inlineStr">
        <is>
          <t>연서면</t>
        </is>
      </c>
    </row>
    <row r="9753">
      <c r="A9753" s="3" t="n">
        <v>2023</v>
      </c>
      <c r="B9753" s="4" t="n">
        <v>58700</v>
      </c>
      <c r="C9753" s="4" t="n">
        <v>2460</v>
      </c>
      <c r="D9753" s="4" t="n">
        <v>744.15</v>
      </c>
      <c r="E9753" s="5" t="n">
        <v>78.90000000000001</v>
      </c>
      <c r="F9753" s="3" t="inlineStr">
        <is>
          <t>연서면</t>
        </is>
      </c>
      <c r="G9753" s="3" t="inlineStr">
        <is>
          <t>신대리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연서면</t>
        </is>
      </c>
    </row>
    <row r="9754">
      <c r="A9754" s="3" t="n">
        <v>2023</v>
      </c>
      <c r="B9754" s="4" t="n">
        <v>4500</v>
      </c>
      <c r="C9754" s="4" t="n">
        <v>92</v>
      </c>
      <c r="D9754" s="4" t="n">
        <v>27.83</v>
      </c>
      <c r="E9754" s="5" t="n">
        <v>161.7</v>
      </c>
      <c r="F9754" s="3" t="inlineStr">
        <is>
          <t>전의면</t>
        </is>
      </c>
      <c r="G9754" s="3" t="inlineStr">
        <is>
          <t>동교리</t>
        </is>
      </c>
      <c r="H9754" s="3" t="inlineStr">
        <is>
          <t>제1종일반주거지역</t>
        </is>
      </c>
      <c r="I9754" s="3" t="inlineStr">
        <is>
          <t>전</t>
        </is>
      </c>
      <c r="J9754" s="3" t="inlineStr">
        <is>
          <t>전의면</t>
        </is>
      </c>
    </row>
    <row r="9755">
      <c r="A9755" s="3" t="n">
        <v>2023</v>
      </c>
      <c r="B9755" s="4" t="n">
        <v>98000</v>
      </c>
      <c r="C9755" s="4" t="n">
        <v>2686</v>
      </c>
      <c r="D9755" s="4" t="n">
        <v>812.515</v>
      </c>
      <c r="E9755" s="5" t="n">
        <v>120.6</v>
      </c>
      <c r="F9755" s="3" t="inlineStr">
        <is>
          <t>연서면</t>
        </is>
      </c>
      <c r="G9755" s="3" t="inlineStr">
        <is>
          <t>신대리</t>
        </is>
      </c>
      <c r="H9755" s="3" t="inlineStr">
        <is>
          <t>계획관리지역</t>
        </is>
      </c>
      <c r="I9755" s="3" t="inlineStr">
        <is>
          <t>잡종지</t>
        </is>
      </c>
      <c r="J9755" s="3" t="inlineStr">
        <is>
          <t>연서면</t>
        </is>
      </c>
    </row>
    <row r="9756">
      <c r="A9756" s="3" t="n">
        <v>2023</v>
      </c>
      <c r="B9756" s="4" t="n">
        <v>975</v>
      </c>
      <c r="C9756" s="4" t="n">
        <v>5693</v>
      </c>
      <c r="D9756" s="4" t="n">
        <v>1722.1325</v>
      </c>
      <c r="E9756" s="5" t="n">
        <v>0.6</v>
      </c>
      <c r="F9756" s="3" t="inlineStr">
        <is>
          <t>전의면</t>
        </is>
      </c>
      <c r="G9756" s="3" t="inlineStr">
        <is>
          <t>동교리</t>
        </is>
      </c>
      <c r="H9756" s="3" t="inlineStr">
        <is>
          <t>농림지역</t>
        </is>
      </c>
      <c r="I9756" s="3" t="inlineStr">
        <is>
          <t>임야</t>
        </is>
      </c>
      <c r="J9756" s="3" t="inlineStr">
        <is>
          <t>전의면</t>
        </is>
      </c>
    </row>
    <row r="9757">
      <c r="A9757" s="3" t="n">
        <v>2026</v>
      </c>
      <c r="B9757" s="4" t="n">
        <v>3795</v>
      </c>
      <c r="C9757" s="4" t="n">
        <v>475</v>
      </c>
      <c r="D9757" s="4" t="n">
        <v>143.6875</v>
      </c>
      <c r="E9757" s="5" t="n">
        <v>26.4</v>
      </c>
      <c r="F9757" s="3" t="inlineStr">
        <is>
          <t>전동면</t>
        </is>
      </c>
      <c r="G9757" s="3" t="inlineStr">
        <is>
          <t>봉대리</t>
        </is>
      </c>
      <c r="H9757" s="3" t="inlineStr">
        <is>
          <t>생산관리지역</t>
        </is>
      </c>
      <c r="I9757" s="3" t="inlineStr">
        <is>
          <t>과수원</t>
        </is>
      </c>
      <c r="J9757" s="3" t="inlineStr">
        <is>
          <t>전동면</t>
        </is>
      </c>
    </row>
    <row r="9758">
      <c r="A9758" s="3" t="n">
        <v>2026</v>
      </c>
      <c r="B9758" s="4" t="n">
        <v>7200</v>
      </c>
      <c r="C9758" s="4" t="n">
        <v>40</v>
      </c>
      <c r="D9758" s="4" t="n">
        <v>12.1</v>
      </c>
      <c r="E9758" s="5" t="n">
        <v>595</v>
      </c>
      <c r="F9758" s="3" t="inlineStr">
        <is>
          <t>부강면</t>
        </is>
      </c>
      <c r="G9758" s="3" t="inlineStr">
        <is>
          <t>부강리</t>
        </is>
      </c>
      <c r="H9758" s="3" t="inlineStr">
        <is>
          <t>제2종일반주거지역</t>
        </is>
      </c>
      <c r="I9758" s="3" t="inlineStr">
        <is>
          <t>대</t>
        </is>
      </c>
      <c r="J9758" s="3" t="inlineStr">
        <is>
          <t>부강면</t>
        </is>
      </c>
    </row>
    <row r="9759">
      <c r="A9759" s="3" t="n">
        <v>2026</v>
      </c>
      <c r="B9759" s="4" t="n">
        <v>8894</v>
      </c>
      <c r="C9759" s="4" t="n">
        <v>140</v>
      </c>
      <c r="D9759" s="4" t="n">
        <v>42.35</v>
      </c>
      <c r="E9759" s="5" t="n">
        <v>210</v>
      </c>
      <c r="F9759" s="3" t="inlineStr">
        <is>
          <t>연서면</t>
        </is>
      </c>
      <c r="G9759" s="3" t="inlineStr">
        <is>
          <t>부동리</t>
        </is>
      </c>
      <c r="H9759" s="3" t="inlineStr">
        <is>
          <t>계획관리지역</t>
        </is>
      </c>
      <c r="I9759" s="3" t="inlineStr">
        <is>
          <t>과수원</t>
        </is>
      </c>
      <c r="J9759" s="3" t="inlineStr">
        <is>
          <t>연서면</t>
        </is>
      </c>
    </row>
    <row r="9760">
      <c r="A9760" s="3" t="n">
        <v>2026</v>
      </c>
      <c r="B9760" s="4" t="n">
        <v>1181180</v>
      </c>
      <c r="C9760" s="4" t="n">
        <v>6618</v>
      </c>
      <c r="D9760" s="4" t="n">
        <v>2001.945</v>
      </c>
      <c r="E9760" s="5" t="n">
        <v>590</v>
      </c>
      <c r="F9760" s="3" t="inlineStr">
        <is>
          <t>연동면</t>
        </is>
      </c>
      <c r="G9760" s="3" t="inlineStr">
        <is>
          <t>명학리</t>
        </is>
      </c>
      <c r="H9760" s="3" t="inlineStr">
        <is>
          <t>일반공업지역</t>
        </is>
      </c>
      <c r="I9760" s="3" t="inlineStr">
        <is>
          <t>공장용지</t>
        </is>
      </c>
      <c r="J9760" s="3" t="inlineStr">
        <is>
          <t>연동면</t>
        </is>
      </c>
    </row>
    <row r="9761">
      <c r="A9761" s="3" t="n">
        <v>2026</v>
      </c>
      <c r="B9761" s="4" t="n">
        <v>87000</v>
      </c>
      <c r="C9761" s="4" t="n">
        <v>785</v>
      </c>
      <c r="D9761" s="4" t="n">
        <v>237.4625</v>
      </c>
      <c r="E9761" s="5" t="n">
        <v>366.4</v>
      </c>
      <c r="F9761" s="3" t="inlineStr">
        <is>
          <t>장군면</t>
        </is>
      </c>
      <c r="G9761" s="3" t="inlineStr">
        <is>
          <t>봉안리</t>
        </is>
      </c>
      <c r="H9761" s="3" t="inlineStr">
        <is>
          <t>계획관리지역</t>
        </is>
      </c>
      <c r="I9761" s="3" t="inlineStr">
        <is>
          <t>임야</t>
        </is>
      </c>
      <c r="J9761" s="3" t="inlineStr">
        <is>
          <t>장군면</t>
        </is>
      </c>
    </row>
    <row r="9762">
      <c r="A9762" s="3" t="n">
        <v>2026</v>
      </c>
      <c r="B9762" s="4" t="n">
        <v>2272</v>
      </c>
      <c r="C9762" s="4" t="n">
        <v>469</v>
      </c>
      <c r="D9762" s="4" t="n">
        <v>141.8725</v>
      </c>
      <c r="E9762" s="5" t="n">
        <v>16</v>
      </c>
      <c r="F9762" s="3" t="inlineStr">
        <is>
          <t>유구읍</t>
        </is>
      </c>
      <c r="G9762" s="3" t="inlineStr">
        <is>
          <t>탑곡리</t>
        </is>
      </c>
      <c r="H9762" s="3" t="inlineStr">
        <is>
          <t>계획관리지역</t>
        </is>
      </c>
      <c r="I9762" s="3" t="inlineStr">
        <is>
          <t>답</t>
        </is>
      </c>
      <c r="J9762" s="3" t="inlineStr">
        <is>
          <t>유구읍</t>
        </is>
      </c>
    </row>
    <row r="9763">
      <c r="A9763" s="3" t="n">
        <v>2026</v>
      </c>
      <c r="B9763" s="4" t="n">
        <v>18662</v>
      </c>
      <c r="C9763" s="4" t="n">
        <v>4407</v>
      </c>
      <c r="D9763" s="4" t="n">
        <v>1333.1175</v>
      </c>
      <c r="E9763" s="5" t="n">
        <v>14</v>
      </c>
      <c r="F9763" s="3" t="inlineStr">
        <is>
          <t>유구읍</t>
        </is>
      </c>
      <c r="G9763" s="3" t="inlineStr">
        <is>
          <t>동해리</t>
        </is>
      </c>
      <c r="H9763" s="3" t="inlineStr">
        <is>
          <t>계획관리지역</t>
        </is>
      </c>
      <c r="I9763" s="3" t="inlineStr">
        <is>
          <t>답</t>
        </is>
      </c>
      <c r="J9763" s="3" t="inlineStr">
        <is>
          <t>유구읍</t>
        </is>
      </c>
    </row>
    <row r="9764">
      <c r="A9764" s="3" t="n">
        <v>2026</v>
      </c>
      <c r="B9764" s="4" t="n">
        <v>5200</v>
      </c>
      <c r="C9764" s="4" t="n">
        <v>767</v>
      </c>
      <c r="D9764" s="4" t="n">
        <v>232.0175</v>
      </c>
      <c r="E9764" s="5" t="n">
        <v>22.4</v>
      </c>
      <c r="F9764" s="3" t="inlineStr">
        <is>
          <t>유구읍</t>
        </is>
      </c>
      <c r="G9764" s="3" t="inlineStr">
        <is>
          <t>덕곡리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유구읍</t>
        </is>
      </c>
    </row>
    <row r="9765">
      <c r="A9765" s="3" t="n">
        <v>2026</v>
      </c>
      <c r="B9765" s="4" t="n">
        <v>5100</v>
      </c>
      <c r="C9765" s="4" t="n">
        <v>368</v>
      </c>
      <c r="D9765" s="4" t="n">
        <v>111.32</v>
      </c>
      <c r="E9765" s="5" t="n">
        <v>45.8</v>
      </c>
      <c r="F9765" s="3" t="inlineStr">
        <is>
          <t>유구읍</t>
        </is>
      </c>
      <c r="G9765" s="3" t="inlineStr">
        <is>
          <t>신영리</t>
        </is>
      </c>
      <c r="H9765" s="3" t="inlineStr">
        <is>
          <t>계획관리지역</t>
        </is>
      </c>
      <c r="I9765" s="3" t="inlineStr">
        <is>
          <t>대</t>
        </is>
      </c>
      <c r="J9765" s="3" t="inlineStr">
        <is>
          <t>유구읍</t>
        </is>
      </c>
    </row>
    <row r="9766">
      <c r="A9766" s="3" t="n">
        <v>2026</v>
      </c>
      <c r="B9766" s="4" t="n">
        <v>10526</v>
      </c>
      <c r="C9766" s="4" t="n">
        <v>152</v>
      </c>
      <c r="D9766" s="4" t="n">
        <v>45.98</v>
      </c>
      <c r="E9766" s="5" t="n">
        <v>228.9</v>
      </c>
      <c r="F9766" s="3" t="inlineStr">
        <is>
          <t>유구읍</t>
        </is>
      </c>
      <c r="G9766" s="3" t="inlineStr">
        <is>
          <t>석남리</t>
        </is>
      </c>
      <c r="H9766" s="3" t="inlineStr">
        <is>
          <t>일반상업지역</t>
        </is>
      </c>
      <c r="I9766" s="3" t="inlineStr">
        <is>
          <t>대</t>
        </is>
      </c>
      <c r="J9766" s="3" t="inlineStr">
        <is>
          <t>유구읍</t>
        </is>
      </c>
    </row>
    <row r="9767">
      <c r="A9767" s="3" t="n">
        <v>2026</v>
      </c>
      <c r="B9767" s="4" t="n">
        <v>26200</v>
      </c>
      <c r="C9767" s="4" t="n">
        <v>4813</v>
      </c>
      <c r="D9767" s="4" t="n">
        <v>1455.9325</v>
      </c>
      <c r="E9767" s="5" t="n">
        <v>18</v>
      </c>
      <c r="F9767" s="3" t="inlineStr">
        <is>
          <t>유구읍</t>
        </is>
      </c>
      <c r="G9767" s="3" t="inlineStr">
        <is>
          <t>석남리</t>
        </is>
      </c>
      <c r="H9767" s="3" t="inlineStr">
        <is>
          <t>자연녹지지역</t>
        </is>
      </c>
      <c r="I9767" s="3" t="inlineStr">
        <is>
          <t>답</t>
        </is>
      </c>
      <c r="J9767" s="3" t="inlineStr">
        <is>
          <t>유구읍</t>
        </is>
      </c>
    </row>
    <row r="9768">
      <c r="A9768" s="3" t="n">
        <v>2026</v>
      </c>
      <c r="B9768" s="4" t="n">
        <v>2200</v>
      </c>
      <c r="C9768" s="4" t="n">
        <v>810</v>
      </c>
      <c r="D9768" s="4" t="n">
        <v>245.025</v>
      </c>
      <c r="E9768" s="5" t="n">
        <v>9</v>
      </c>
      <c r="F9768" s="3" t="inlineStr">
        <is>
          <t>유구읍</t>
        </is>
      </c>
      <c r="G9768" s="3" t="inlineStr">
        <is>
          <t>문금리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유구읍</t>
        </is>
      </c>
    </row>
    <row r="9769">
      <c r="A9769" s="3" t="n">
        <v>2026</v>
      </c>
      <c r="B9769" s="4" t="n">
        <v>5000</v>
      </c>
      <c r="C9769" s="4" t="n">
        <v>839</v>
      </c>
      <c r="D9769" s="4" t="n">
        <v>253.7975</v>
      </c>
      <c r="E9769" s="5" t="n">
        <v>19.7</v>
      </c>
      <c r="F9769" s="3" t="inlineStr">
        <is>
          <t>유구읍</t>
        </is>
      </c>
      <c r="G9769" s="3" t="inlineStr">
        <is>
          <t>추계리</t>
        </is>
      </c>
      <c r="H9769" s="3" t="inlineStr">
        <is>
          <t>계획관리지역</t>
        </is>
      </c>
      <c r="I9769" s="3" t="inlineStr">
        <is>
          <t>대</t>
        </is>
      </c>
      <c r="J9769" s="3" t="inlineStr">
        <is>
          <t>유구읍</t>
        </is>
      </c>
    </row>
    <row r="9770">
      <c r="A9770" s="3" t="n">
        <v>2026</v>
      </c>
      <c r="B9770" s="4" t="n">
        <v>10933</v>
      </c>
      <c r="C9770" s="4" t="n">
        <v>3037</v>
      </c>
      <c r="D9770" s="4" t="n">
        <v>918.6925</v>
      </c>
      <c r="E9770" s="5" t="n">
        <v>11.9</v>
      </c>
      <c r="F9770" s="3" t="inlineStr">
        <is>
          <t>유구읍</t>
        </is>
      </c>
      <c r="G9770" s="3" t="inlineStr">
        <is>
          <t>신영리</t>
        </is>
      </c>
      <c r="H9770" s="3" t="inlineStr">
        <is>
          <t>농림지역</t>
        </is>
      </c>
      <c r="I9770" s="3" t="inlineStr">
        <is>
          <t>답</t>
        </is>
      </c>
      <c r="J9770" s="3" t="inlineStr">
        <is>
          <t>유구읍</t>
        </is>
      </c>
    </row>
    <row r="9771">
      <c r="A9771" s="3" t="n">
        <v>2026</v>
      </c>
      <c r="B9771" s="4" t="n">
        <v>2701</v>
      </c>
      <c r="C9771" s="4" t="n">
        <v>124</v>
      </c>
      <c r="D9771" s="4" t="n">
        <v>37.51</v>
      </c>
      <c r="E9771" s="5" t="n">
        <v>72</v>
      </c>
      <c r="F9771" s="3" t="inlineStr">
        <is>
          <t>유구읍</t>
        </is>
      </c>
      <c r="G9771" s="3" t="inlineStr">
        <is>
          <t>유구리</t>
        </is>
      </c>
      <c r="H9771" s="3" t="inlineStr">
        <is>
          <t>자연녹지지역</t>
        </is>
      </c>
      <c r="I9771" s="3" t="inlineStr">
        <is>
          <t>대</t>
        </is>
      </c>
      <c r="J9771" s="3" t="inlineStr">
        <is>
          <t>유구읍</t>
        </is>
      </c>
    </row>
    <row r="9772">
      <c r="A9772" s="3" t="n">
        <v>2022</v>
      </c>
      <c r="B9772" s="4" t="n">
        <v>8000</v>
      </c>
      <c r="C9772" s="4" t="n">
        <v>2018</v>
      </c>
      <c r="D9772" s="4" t="n">
        <v>610.4449999999999</v>
      </c>
      <c r="E9772" s="5" t="n">
        <v>13.1</v>
      </c>
      <c r="F9772" s="3" t="inlineStr">
        <is>
          <t>유구읍</t>
        </is>
      </c>
      <c r="G9772" s="3" t="inlineStr">
        <is>
          <t>추계리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유구읍</t>
        </is>
      </c>
    </row>
    <row r="9773">
      <c r="A9773" s="3" t="n">
        <v>2022</v>
      </c>
      <c r="B9773" s="4" t="n">
        <v>11500</v>
      </c>
      <c r="C9773" s="4" t="n">
        <v>1092</v>
      </c>
      <c r="D9773" s="4" t="n">
        <v>330.33</v>
      </c>
      <c r="E9773" s="5" t="n">
        <v>34.8</v>
      </c>
      <c r="F9773" s="3" t="inlineStr">
        <is>
          <t>유구읍</t>
        </is>
      </c>
      <c r="G9773" s="3" t="inlineStr">
        <is>
          <t>유구리</t>
        </is>
      </c>
      <c r="H9773" s="3" t="inlineStr">
        <is>
          <t>계획관리지역</t>
        </is>
      </c>
      <c r="I9773" s="3" t="inlineStr">
        <is>
          <t>전</t>
        </is>
      </c>
      <c r="J9773" s="3" t="inlineStr">
        <is>
          <t>유구읍</t>
        </is>
      </c>
    </row>
    <row r="9774">
      <c r="A9774" s="3" t="n">
        <v>2022</v>
      </c>
      <c r="B9774" s="4" t="n">
        <v>2500</v>
      </c>
      <c r="C9774" s="4" t="n">
        <v>694</v>
      </c>
      <c r="D9774" s="4" t="n">
        <v>209.935</v>
      </c>
      <c r="E9774" s="5" t="n">
        <v>11.9</v>
      </c>
      <c r="F9774" s="3" t="inlineStr">
        <is>
          <t>유구읍</t>
        </is>
      </c>
      <c r="G9774" s="3" t="inlineStr">
        <is>
          <t>탑곡리</t>
        </is>
      </c>
      <c r="H9774" s="3" t="inlineStr">
        <is>
          <t>계획관리지역</t>
        </is>
      </c>
      <c r="I9774" s="3" t="inlineStr">
        <is>
          <t>전</t>
        </is>
      </c>
      <c r="J9774" s="3" t="inlineStr">
        <is>
          <t>유구읍</t>
        </is>
      </c>
    </row>
    <row r="9775">
      <c r="A9775" s="3" t="n">
        <v>2022</v>
      </c>
      <c r="B9775" s="4" t="n">
        <v>3700</v>
      </c>
      <c r="C9775" s="4" t="n">
        <v>1984</v>
      </c>
      <c r="D9775" s="4" t="n">
        <v>600.16</v>
      </c>
      <c r="E9775" s="5" t="n">
        <v>6.2</v>
      </c>
      <c r="F9775" s="3" t="inlineStr">
        <is>
          <t>유구읍</t>
        </is>
      </c>
      <c r="G9775" s="3" t="inlineStr">
        <is>
          <t>동해리</t>
        </is>
      </c>
      <c r="H9775" s="3" t="inlineStr">
        <is>
          <t>계획관리지역</t>
        </is>
      </c>
      <c r="I9775" s="3" t="inlineStr">
        <is>
          <t>답</t>
        </is>
      </c>
      <c r="J9775" s="3" t="inlineStr">
        <is>
          <t>유구읍</t>
        </is>
      </c>
    </row>
    <row r="9776">
      <c r="A9776" s="3" t="n">
        <v>2022</v>
      </c>
      <c r="B9776" s="4" t="n">
        <v>260</v>
      </c>
      <c r="C9776" s="4" t="n">
        <v>179</v>
      </c>
      <c r="D9776" s="4" t="n">
        <v>54.1475</v>
      </c>
      <c r="E9776" s="5" t="n">
        <v>4.8</v>
      </c>
      <c r="F9776" s="3" t="inlineStr">
        <is>
          <t>유구읍</t>
        </is>
      </c>
      <c r="G9776" s="3" t="inlineStr">
        <is>
          <t>녹천리</t>
        </is>
      </c>
      <c r="H9776" s="3" t="inlineStr">
        <is>
          <t>계획관리지역</t>
        </is>
      </c>
      <c r="I9776" s="3" t="inlineStr">
        <is>
          <t>하천</t>
        </is>
      </c>
      <c r="J9776" s="3" t="inlineStr">
        <is>
          <t>유구읍</t>
        </is>
      </c>
    </row>
    <row r="9777">
      <c r="A9777" s="3" t="n">
        <v>2022</v>
      </c>
      <c r="B9777" s="4" t="n">
        <v>3200</v>
      </c>
      <c r="C9777" s="4" t="n">
        <v>714</v>
      </c>
      <c r="D9777" s="4" t="n">
        <v>215.985</v>
      </c>
      <c r="E9777" s="5" t="n">
        <v>14.8</v>
      </c>
      <c r="F9777" s="3" t="inlineStr">
        <is>
          <t>유구읍</t>
        </is>
      </c>
      <c r="G9777" s="3" t="inlineStr">
        <is>
          <t>녹천리</t>
        </is>
      </c>
      <c r="H9777" s="3" t="inlineStr">
        <is>
          <t>계획관리지역</t>
        </is>
      </c>
      <c r="I9777" s="3" t="inlineStr">
        <is>
          <t>전</t>
        </is>
      </c>
      <c r="J9777" s="3" t="inlineStr">
        <is>
          <t>유구읍</t>
        </is>
      </c>
    </row>
    <row r="9778">
      <c r="A9778" s="3" t="n">
        <v>2022</v>
      </c>
      <c r="B9778" s="4" t="n">
        <v>280</v>
      </c>
      <c r="C9778" s="4" t="n">
        <v>466</v>
      </c>
      <c r="D9778" s="4" t="n">
        <v>140.965</v>
      </c>
      <c r="E9778" s="5" t="n">
        <v>2</v>
      </c>
      <c r="F9778" s="3" t="inlineStr">
        <is>
          <t>유구읍</t>
        </is>
      </c>
      <c r="G9778" s="3" t="inlineStr">
        <is>
          <t>녹천리</t>
        </is>
      </c>
      <c r="H9778" s="3" t="inlineStr">
        <is>
          <t>계획관리지역</t>
        </is>
      </c>
      <c r="I9778" s="3" t="inlineStr">
        <is>
          <t>하천</t>
        </is>
      </c>
      <c r="J9778" s="3" t="inlineStr">
        <is>
          <t>유구읍</t>
        </is>
      </c>
    </row>
    <row r="9779">
      <c r="A9779" s="3" t="n">
        <v>2022</v>
      </c>
      <c r="B9779" s="4" t="n">
        <v>4760</v>
      </c>
      <c r="C9779" s="4" t="n">
        <v>1299</v>
      </c>
      <c r="D9779" s="4" t="n">
        <v>392.9475</v>
      </c>
      <c r="E9779" s="5" t="n">
        <v>12.1</v>
      </c>
      <c r="F9779" s="3" t="inlineStr">
        <is>
          <t>유구읍</t>
        </is>
      </c>
      <c r="G9779" s="3" t="inlineStr">
        <is>
          <t>녹천리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유구읍</t>
        </is>
      </c>
    </row>
    <row r="9780">
      <c r="A9780" s="3" t="n">
        <v>2022</v>
      </c>
      <c r="B9780" s="4" t="n">
        <v>4363</v>
      </c>
      <c r="C9780" s="4" t="n">
        <v>714</v>
      </c>
      <c r="D9780" s="4" t="n">
        <v>215.985</v>
      </c>
      <c r="E9780" s="5" t="n">
        <v>20.2</v>
      </c>
      <c r="F9780" s="3" t="inlineStr">
        <is>
          <t>유구읍</t>
        </is>
      </c>
      <c r="G9780" s="3" t="inlineStr">
        <is>
          <t>명곡리</t>
        </is>
      </c>
      <c r="H9780" s="3" t="inlineStr">
        <is>
          <t>농림지역</t>
        </is>
      </c>
      <c r="I9780" s="3" t="inlineStr">
        <is>
          <t>전</t>
        </is>
      </c>
      <c r="J9780" s="3" t="inlineStr">
        <is>
          <t>유구읍</t>
        </is>
      </c>
    </row>
    <row r="9781">
      <c r="A9781" s="3" t="n">
        <v>2022</v>
      </c>
      <c r="B9781" s="4" t="n">
        <v>1937</v>
      </c>
      <c r="C9781" s="4" t="n">
        <v>317</v>
      </c>
      <c r="D9781" s="4" t="n">
        <v>95.8925</v>
      </c>
      <c r="E9781" s="5" t="n">
        <v>20.2</v>
      </c>
      <c r="F9781" s="3" t="inlineStr">
        <is>
          <t>유구읍</t>
        </is>
      </c>
      <c r="G9781" s="3" t="inlineStr">
        <is>
          <t>명곡리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유구읍</t>
        </is>
      </c>
    </row>
    <row r="9782">
      <c r="A9782" s="3" t="n">
        <v>2022</v>
      </c>
      <c r="B9782" s="4" t="n">
        <v>750</v>
      </c>
      <c r="C9782" s="4" t="n">
        <v>132</v>
      </c>
      <c r="D9782" s="4" t="n">
        <v>39.93</v>
      </c>
      <c r="E9782" s="5" t="n">
        <v>18.8</v>
      </c>
      <c r="F9782" s="3" t="inlineStr">
        <is>
          <t>유구읍</t>
        </is>
      </c>
      <c r="G9782" s="3" t="inlineStr">
        <is>
          <t>동해리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유구읍</t>
        </is>
      </c>
    </row>
    <row r="9783">
      <c r="A9783" s="3" t="n">
        <v>2022</v>
      </c>
      <c r="B9783" s="4" t="n">
        <v>10300</v>
      </c>
      <c r="C9783" s="4" t="n">
        <v>962</v>
      </c>
      <c r="D9783" s="4" t="n">
        <v>291.005</v>
      </c>
      <c r="E9783" s="5" t="n">
        <v>35.4</v>
      </c>
      <c r="F9783" s="3" t="inlineStr">
        <is>
          <t>유구읍</t>
        </is>
      </c>
      <c r="G9783" s="3" t="inlineStr">
        <is>
          <t>만천리</t>
        </is>
      </c>
      <c r="H9783" s="3" t="inlineStr">
        <is>
          <t>계획관리지역</t>
        </is>
      </c>
      <c r="I9783" s="3" t="inlineStr">
        <is>
          <t>대</t>
        </is>
      </c>
      <c r="J9783" s="3" t="inlineStr">
        <is>
          <t>유구읍</t>
        </is>
      </c>
    </row>
    <row r="9784">
      <c r="A9784" s="3" t="n">
        <v>2022</v>
      </c>
      <c r="B9784" s="4" t="n">
        <v>2700</v>
      </c>
      <c r="C9784" s="4" t="n">
        <v>281</v>
      </c>
      <c r="D9784" s="4" t="n">
        <v>85.0025</v>
      </c>
      <c r="E9784" s="5" t="n">
        <v>31.8</v>
      </c>
      <c r="F9784" s="3" t="inlineStr">
        <is>
          <t>유구읍</t>
        </is>
      </c>
      <c r="G9784" s="3" t="inlineStr">
        <is>
          <t>만천리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유구읍</t>
        </is>
      </c>
    </row>
    <row r="9785">
      <c r="A9785" s="3" t="n">
        <v>2022</v>
      </c>
      <c r="B9785" s="4" t="n">
        <v>7956</v>
      </c>
      <c r="C9785" s="4" t="n">
        <v>1461</v>
      </c>
      <c r="D9785" s="4" t="n">
        <v>441.9525</v>
      </c>
      <c r="E9785" s="5" t="n">
        <v>18</v>
      </c>
      <c r="F9785" s="3" t="inlineStr">
        <is>
          <t>유구읍</t>
        </is>
      </c>
      <c r="G9785" s="3" t="inlineStr">
        <is>
          <t>추계리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유구읍</t>
        </is>
      </c>
    </row>
    <row r="9786">
      <c r="A9786" s="3" t="n">
        <v>2026</v>
      </c>
      <c r="B9786" s="4" t="n">
        <v>160</v>
      </c>
      <c r="C9786" s="4" t="n">
        <v>20</v>
      </c>
      <c r="D9786" s="4" t="n">
        <v>6.05</v>
      </c>
      <c r="E9786" s="5" t="n">
        <v>26.4</v>
      </c>
      <c r="F9786" s="3" t="inlineStr">
        <is>
          <t>전동면</t>
        </is>
      </c>
      <c r="G9786" s="3" t="inlineStr">
        <is>
          <t>봉대리</t>
        </is>
      </c>
      <c r="H9786" s="3" t="inlineStr">
        <is>
          <t>생산관리지역</t>
        </is>
      </c>
      <c r="I9786" s="3" t="inlineStr">
        <is>
          <t>과수원</t>
        </is>
      </c>
      <c r="J9786" s="3" t="inlineStr">
        <is>
          <t>전동면</t>
        </is>
      </c>
    </row>
    <row r="9787">
      <c r="A9787" s="3" t="n">
        <v>2026</v>
      </c>
      <c r="B9787" s="4" t="n">
        <v>4618</v>
      </c>
      <c r="C9787" s="4" t="n">
        <v>578</v>
      </c>
      <c r="D9787" s="4" t="n">
        <v>174.845</v>
      </c>
      <c r="E9787" s="5" t="n">
        <v>26.4</v>
      </c>
      <c r="F9787" s="3" t="inlineStr">
        <is>
          <t>전동면</t>
        </is>
      </c>
      <c r="G9787" s="3" t="inlineStr">
        <is>
          <t>봉대리</t>
        </is>
      </c>
      <c r="H9787" s="3" t="inlineStr">
        <is>
          <t>생산관리지역</t>
        </is>
      </c>
      <c r="I9787" s="3" t="inlineStr">
        <is>
          <t>과수원</t>
        </is>
      </c>
      <c r="J9787" s="3" t="inlineStr">
        <is>
          <t>전동면</t>
        </is>
      </c>
    </row>
    <row r="9788">
      <c r="A9788" s="3" t="n">
        <v>2026</v>
      </c>
      <c r="B9788" s="4" t="n">
        <v>80</v>
      </c>
      <c r="C9788" s="4" t="n">
        <v>10</v>
      </c>
      <c r="D9788" s="4" t="n">
        <v>3.025</v>
      </c>
      <c r="E9788" s="5" t="n">
        <v>26.4</v>
      </c>
      <c r="F9788" s="3" t="inlineStr">
        <is>
          <t>전동면</t>
        </is>
      </c>
      <c r="G9788" s="3" t="inlineStr">
        <is>
          <t>봉대리</t>
        </is>
      </c>
      <c r="H9788" s="3" t="inlineStr">
        <is>
          <t>생산관리지역</t>
        </is>
      </c>
      <c r="I9788" s="3" t="inlineStr">
        <is>
          <t>과수원</t>
        </is>
      </c>
      <c r="J9788" s="3" t="inlineStr">
        <is>
          <t>전동면</t>
        </is>
      </c>
    </row>
    <row r="9789">
      <c r="A9789" s="3" t="n">
        <v>2026</v>
      </c>
      <c r="B9789" s="4" t="n">
        <v>5841</v>
      </c>
      <c r="C9789" s="4" t="n">
        <v>731</v>
      </c>
      <c r="D9789" s="4" t="n">
        <v>221.1275</v>
      </c>
      <c r="E9789" s="5" t="n">
        <v>26.4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과수원</t>
        </is>
      </c>
      <c r="J9789" s="3" t="inlineStr">
        <is>
          <t>전동면</t>
        </is>
      </c>
    </row>
    <row r="9790">
      <c r="A9790" s="3" t="n">
        <v>2026</v>
      </c>
      <c r="B9790" s="4" t="n">
        <v>599</v>
      </c>
      <c r="C9790" s="4" t="n">
        <v>75</v>
      </c>
      <c r="D9790" s="4" t="n">
        <v>22.6875</v>
      </c>
      <c r="E9790" s="5" t="n">
        <v>26.4</v>
      </c>
      <c r="F9790" s="3" t="inlineStr">
        <is>
          <t>전동면</t>
        </is>
      </c>
      <c r="G9790" s="3" t="inlineStr">
        <is>
          <t>봉대리</t>
        </is>
      </c>
      <c r="H9790" s="3" t="inlineStr">
        <is>
          <t>생산관리지역</t>
        </is>
      </c>
      <c r="I9790" s="3" t="inlineStr">
        <is>
          <t>과수원</t>
        </is>
      </c>
      <c r="J9790" s="3" t="inlineStr">
        <is>
          <t>전동면</t>
        </is>
      </c>
    </row>
    <row r="9791">
      <c r="A9791" s="3" t="n">
        <v>2026</v>
      </c>
      <c r="B9791" s="4" t="n">
        <v>3348</v>
      </c>
      <c r="C9791" s="4" t="n">
        <v>419</v>
      </c>
      <c r="D9791" s="4" t="n">
        <v>126.7475</v>
      </c>
      <c r="E9791" s="5" t="n">
        <v>26.4</v>
      </c>
      <c r="F9791" s="3" t="inlineStr">
        <is>
          <t>전동면</t>
        </is>
      </c>
      <c r="G9791" s="3" t="inlineStr">
        <is>
          <t>봉대리</t>
        </is>
      </c>
      <c r="H9791" s="3" t="inlineStr">
        <is>
          <t>생산관리지역</t>
        </is>
      </c>
      <c r="I9791" s="3" t="inlineStr">
        <is>
          <t>과수원</t>
        </is>
      </c>
      <c r="J9791" s="3" t="inlineStr">
        <is>
          <t>전동면</t>
        </is>
      </c>
    </row>
    <row r="9792">
      <c r="A9792" s="3" t="n">
        <v>2026</v>
      </c>
      <c r="B9792" s="4" t="n">
        <v>224</v>
      </c>
      <c r="C9792" s="4" t="n">
        <v>28</v>
      </c>
      <c r="D9792" s="4" t="n">
        <v>8.469999999999999</v>
      </c>
      <c r="E9792" s="5" t="n">
        <v>26.4</v>
      </c>
      <c r="F9792" s="3" t="inlineStr">
        <is>
          <t>전동면</t>
        </is>
      </c>
      <c r="G9792" s="3" t="inlineStr">
        <is>
          <t>봉대리</t>
        </is>
      </c>
      <c r="H9792" s="3" t="inlineStr">
        <is>
          <t>생산관리지역</t>
        </is>
      </c>
      <c r="I9792" s="3" t="inlineStr">
        <is>
          <t>과수원</t>
        </is>
      </c>
      <c r="J9792" s="3" t="inlineStr">
        <is>
          <t>전동면</t>
        </is>
      </c>
    </row>
    <row r="9793">
      <c r="A9793" s="3" t="n">
        <v>2026</v>
      </c>
      <c r="B9793" s="4" t="n">
        <v>4491</v>
      </c>
      <c r="C9793" s="4" t="n">
        <v>562</v>
      </c>
      <c r="D9793" s="4" t="n">
        <v>170.005</v>
      </c>
      <c r="E9793" s="5" t="n">
        <v>26.4</v>
      </c>
      <c r="F9793" s="3" t="inlineStr">
        <is>
          <t>전동면</t>
        </is>
      </c>
      <c r="G9793" s="3" t="inlineStr">
        <is>
          <t>봉대리</t>
        </is>
      </c>
      <c r="H9793" s="3" t="inlineStr">
        <is>
          <t>생산관리지역</t>
        </is>
      </c>
      <c r="I9793" s="3" t="inlineStr">
        <is>
          <t>과수원</t>
        </is>
      </c>
      <c r="J9793" s="3" t="inlineStr">
        <is>
          <t>전동면</t>
        </is>
      </c>
    </row>
    <row r="9794">
      <c r="A9794" s="3" t="n">
        <v>2026</v>
      </c>
      <c r="B9794" s="4" t="n">
        <v>36935</v>
      </c>
      <c r="C9794" s="4" t="n">
        <v>450</v>
      </c>
      <c r="D9794" s="4" t="n">
        <v>136.125</v>
      </c>
      <c r="E9794" s="5" t="n">
        <v>271.3</v>
      </c>
      <c r="F9794" s="3" t="inlineStr">
        <is>
          <t>장군면</t>
        </is>
      </c>
      <c r="G9794" s="3" t="inlineStr">
        <is>
          <t>대교리</t>
        </is>
      </c>
      <c r="H9794" s="3" t="inlineStr">
        <is>
          <t>보전관리지역</t>
        </is>
      </c>
      <c r="I9794" s="3" t="inlineStr">
        <is>
          <t>대</t>
        </is>
      </c>
      <c r="J9794" s="3" t="inlineStr">
        <is>
          <t>장군면</t>
        </is>
      </c>
    </row>
    <row r="9795">
      <c r="A9795" s="3" t="n">
        <v>2025</v>
      </c>
      <c r="B9795" s="4" t="n">
        <v>4200</v>
      </c>
      <c r="C9795" s="4" t="n">
        <v>302</v>
      </c>
      <c r="D9795" s="4" t="n">
        <v>91.355</v>
      </c>
      <c r="E9795" s="5" t="n">
        <v>46</v>
      </c>
      <c r="F9795" s="3" t="inlineStr">
        <is>
          <t>전동면</t>
        </is>
      </c>
      <c r="G9795" s="3" t="inlineStr">
        <is>
          <t>청람리</t>
        </is>
      </c>
      <c r="H9795" s="3" t="inlineStr">
        <is>
          <t>보전관리지역</t>
        </is>
      </c>
      <c r="I9795" s="3" t="inlineStr">
        <is>
          <t>임야</t>
        </is>
      </c>
      <c r="J9795" s="3" t="inlineStr">
        <is>
          <t>전동면</t>
        </is>
      </c>
    </row>
    <row r="9796">
      <c r="A9796" s="3" t="n">
        <v>2025</v>
      </c>
      <c r="B9796" s="4" t="n">
        <v>30000</v>
      </c>
      <c r="C9796" s="4" t="n">
        <v>657</v>
      </c>
      <c r="D9796" s="4" t="n">
        <v>198.7425</v>
      </c>
      <c r="E9796" s="5" t="n">
        <v>150.9</v>
      </c>
      <c r="F9796" s="3" t="inlineStr">
        <is>
          <t>장군면</t>
        </is>
      </c>
      <c r="G9796" s="3" t="inlineStr">
        <is>
          <t>금암리</t>
        </is>
      </c>
      <c r="H9796" s="3" t="inlineStr">
        <is>
          <t>보전관리지역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2025</v>
      </c>
      <c r="B9797" s="4" t="n">
        <v>14552</v>
      </c>
      <c r="C9797" s="4" t="n">
        <v>624</v>
      </c>
      <c r="D9797" s="4" t="n">
        <v>188.76</v>
      </c>
      <c r="E9797" s="5" t="n">
        <v>77.09999999999999</v>
      </c>
      <c r="F9797" s="3" t="inlineStr">
        <is>
          <t>장군면</t>
        </is>
      </c>
      <c r="G9797" s="3" t="inlineStr">
        <is>
          <t>금암리</t>
        </is>
      </c>
      <c r="H9797" s="3" t="inlineStr">
        <is>
          <t>농림지역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2025</v>
      </c>
      <c r="B9798" s="4" t="n">
        <v>5000</v>
      </c>
      <c r="C9798" s="4" t="n">
        <v>714</v>
      </c>
      <c r="D9798" s="4" t="n">
        <v>215.985</v>
      </c>
      <c r="E9798" s="5" t="n">
        <v>23.1</v>
      </c>
      <c r="F9798" s="3" t="inlineStr">
        <is>
          <t>전의면</t>
        </is>
      </c>
      <c r="G9798" s="3" t="inlineStr">
        <is>
          <t>원성리</t>
        </is>
      </c>
      <c r="H9798" s="3" t="inlineStr">
        <is>
          <t>보전관리지역</t>
        </is>
      </c>
      <c r="I9798" s="3" t="inlineStr">
        <is>
          <t>전</t>
        </is>
      </c>
      <c r="J9798" s="3" t="inlineStr">
        <is>
          <t>전의면</t>
        </is>
      </c>
    </row>
    <row r="9799">
      <c r="A9799" s="3" t="n">
        <v>2025</v>
      </c>
      <c r="B9799" s="4" t="n">
        <v>4000</v>
      </c>
      <c r="C9799" s="4" t="n">
        <v>330</v>
      </c>
      <c r="D9799" s="4" t="n">
        <v>99.825</v>
      </c>
      <c r="E9799" s="5" t="n">
        <v>40.1</v>
      </c>
      <c r="F9799" s="3" t="inlineStr">
        <is>
          <t>금남면</t>
        </is>
      </c>
      <c r="G9799" s="3" t="inlineStr">
        <is>
          <t>남곡리</t>
        </is>
      </c>
      <c r="H9799" s="3" t="inlineStr">
        <is>
          <t>개발제한구역</t>
        </is>
      </c>
      <c r="I9799" s="3" t="inlineStr">
        <is>
          <t>묘지</t>
        </is>
      </c>
      <c r="J9799" s="3" t="inlineStr">
        <is>
          <t>금남면</t>
        </is>
      </c>
    </row>
    <row r="9800">
      <c r="A9800" s="3" t="n">
        <v>2025</v>
      </c>
      <c r="B9800" s="4" t="n">
        <v>1373</v>
      </c>
      <c r="C9800" s="4" t="n">
        <v>8</v>
      </c>
      <c r="D9800" s="4" t="n">
        <v>2.42</v>
      </c>
      <c r="E9800" s="5" t="n">
        <v>567.4</v>
      </c>
      <c r="F9800" s="3" t="inlineStr">
        <is>
          <t>조치원읍</t>
        </is>
      </c>
      <c r="G9800" s="3" t="inlineStr">
        <is>
          <t>침산리</t>
        </is>
      </c>
      <c r="H9800" s="3" t="inlineStr">
        <is>
          <t>제2종일반주거지역</t>
        </is>
      </c>
      <c r="I9800" s="3" t="inlineStr">
        <is>
          <t>대</t>
        </is>
      </c>
      <c r="J9800" s="3" t="inlineStr">
        <is>
          <t>조치원읍</t>
        </is>
      </c>
    </row>
    <row r="9801">
      <c r="A9801" s="3" t="n">
        <v>2025</v>
      </c>
      <c r="B9801" s="4" t="n">
        <v>515</v>
      </c>
      <c r="C9801" s="4" t="n">
        <v>3</v>
      </c>
      <c r="D9801" s="4" t="n">
        <v>0.9075</v>
      </c>
      <c r="E9801" s="5" t="n">
        <v>567.5</v>
      </c>
      <c r="F9801" s="3" t="inlineStr">
        <is>
          <t>조치원읍</t>
        </is>
      </c>
      <c r="G9801" s="3" t="inlineStr">
        <is>
          <t>침산리</t>
        </is>
      </c>
      <c r="H9801" s="3" t="inlineStr">
        <is>
          <t>제2종일반주거지역</t>
        </is>
      </c>
      <c r="I9801" s="3" t="inlineStr">
        <is>
          <t>대</t>
        </is>
      </c>
      <c r="J9801" s="3" t="inlineStr">
        <is>
          <t>조치원읍</t>
        </is>
      </c>
    </row>
    <row r="9802">
      <c r="A9802" s="3" t="n">
        <v>2025</v>
      </c>
      <c r="B9802" s="4" t="n">
        <v>1202</v>
      </c>
      <c r="C9802" s="4" t="n">
        <v>7</v>
      </c>
      <c r="D9802" s="4" t="n">
        <v>2.1175</v>
      </c>
      <c r="E9802" s="5" t="n">
        <v>567.7</v>
      </c>
      <c r="F9802" s="3" t="inlineStr">
        <is>
          <t>조치원읍</t>
        </is>
      </c>
      <c r="G9802" s="3" t="inlineStr">
        <is>
          <t>침산리</t>
        </is>
      </c>
      <c r="H9802" s="3" t="inlineStr">
        <is>
          <t>제2종일반주거지역</t>
        </is>
      </c>
      <c r="I9802" s="3" t="inlineStr">
        <is>
          <t>대</t>
        </is>
      </c>
      <c r="J9802" s="3" t="inlineStr">
        <is>
          <t>조치원읍</t>
        </is>
      </c>
    </row>
    <row r="9803">
      <c r="A9803" s="3" t="n">
        <v>2025</v>
      </c>
      <c r="B9803" s="4" t="n">
        <v>1450</v>
      </c>
      <c r="C9803" s="4" t="n">
        <v>489</v>
      </c>
      <c r="D9803" s="4" t="n">
        <v>147.9225</v>
      </c>
      <c r="E9803" s="5" t="n">
        <v>9.800000000000001</v>
      </c>
      <c r="F9803" s="3" t="inlineStr">
        <is>
          <t>전동면</t>
        </is>
      </c>
      <c r="G9803" s="3" t="inlineStr">
        <is>
          <t>청람리</t>
        </is>
      </c>
      <c r="H9803" s="3" t="inlineStr">
        <is>
          <t>생산관리지역</t>
        </is>
      </c>
      <c r="I9803" s="3" t="inlineStr">
        <is>
          <t>전</t>
        </is>
      </c>
      <c r="J9803" s="3" t="inlineStr">
        <is>
          <t>전동면</t>
        </is>
      </c>
    </row>
    <row r="9804">
      <c r="A9804" s="3" t="n">
        <v>2025</v>
      </c>
      <c r="B9804" s="4" t="n">
        <v>30000</v>
      </c>
      <c r="C9804" s="4" t="n">
        <v>2015.9</v>
      </c>
      <c r="D9804" s="4" t="n">
        <v>609.80975</v>
      </c>
      <c r="E9804" s="5" t="n">
        <v>49.2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농림지역</t>
        </is>
      </c>
      <c r="I9804" s="3" t="inlineStr">
        <is>
          <t>답</t>
        </is>
      </c>
      <c r="J9804" s="3" t="inlineStr">
        <is>
          <t>장군면</t>
        </is>
      </c>
    </row>
    <row r="9805">
      <c r="A9805" s="3" t="n">
        <v>2022</v>
      </c>
      <c r="B9805" s="4" t="n">
        <v>4936</v>
      </c>
      <c r="C9805" s="4" t="n">
        <v>306</v>
      </c>
      <c r="D9805" s="4" t="n">
        <v>92.565</v>
      </c>
      <c r="E9805" s="5" t="n">
        <v>53.3</v>
      </c>
      <c r="F9805" s="3" t="inlineStr">
        <is>
          <t>유구읍</t>
        </is>
      </c>
      <c r="G9805" s="3" t="inlineStr">
        <is>
          <t>유구리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유구읍</t>
        </is>
      </c>
    </row>
    <row r="9806">
      <c r="A9806" s="3" t="n">
        <v>2022</v>
      </c>
      <c r="B9806" s="4" t="n">
        <v>2645</v>
      </c>
      <c r="C9806" s="4" t="n">
        <v>164</v>
      </c>
      <c r="D9806" s="4" t="n">
        <v>49.61</v>
      </c>
      <c r="E9806" s="5" t="n">
        <v>53.3</v>
      </c>
      <c r="F9806" s="3" t="inlineStr">
        <is>
          <t>유구읍</t>
        </is>
      </c>
      <c r="G9806" s="3" t="inlineStr">
        <is>
          <t>유구리</t>
        </is>
      </c>
      <c r="H9806" s="3" t="inlineStr">
        <is>
          <t>제2종일반주거지역</t>
        </is>
      </c>
      <c r="I9806" s="3" t="inlineStr">
        <is>
          <t>대</t>
        </is>
      </c>
      <c r="J9806" s="3" t="inlineStr">
        <is>
          <t>유구읍</t>
        </is>
      </c>
    </row>
    <row r="9807">
      <c r="A9807" s="3" t="n">
        <v>2022</v>
      </c>
      <c r="B9807" s="4" t="n">
        <v>7419</v>
      </c>
      <c r="C9807" s="4" t="n">
        <v>460</v>
      </c>
      <c r="D9807" s="4" t="n">
        <v>139.15</v>
      </c>
      <c r="E9807" s="5" t="n">
        <v>53.3</v>
      </c>
      <c r="F9807" s="3" t="inlineStr">
        <is>
          <t>유구읍</t>
        </is>
      </c>
      <c r="G9807" s="3" t="inlineStr">
        <is>
          <t>유구리</t>
        </is>
      </c>
      <c r="H9807" s="3" t="inlineStr">
        <is>
          <t>제2종일반주거지역</t>
        </is>
      </c>
      <c r="I9807" s="3" t="inlineStr">
        <is>
          <t>대</t>
        </is>
      </c>
      <c r="J9807" s="3" t="inlineStr">
        <is>
          <t>유구읍</t>
        </is>
      </c>
    </row>
    <row r="9808">
      <c r="A9808" s="3" t="n">
        <v>2022</v>
      </c>
      <c r="B9808" s="4" t="n">
        <v>2200</v>
      </c>
      <c r="C9808" s="4" t="n">
        <v>3305</v>
      </c>
      <c r="D9808" s="4" t="n">
        <v>999.7624999999999</v>
      </c>
      <c r="E9808" s="5" t="n">
        <v>2.2</v>
      </c>
      <c r="F9808" s="3" t="inlineStr">
        <is>
          <t>유구읍</t>
        </is>
      </c>
      <c r="G9808" s="3" t="inlineStr">
        <is>
          <t>만천리</t>
        </is>
      </c>
      <c r="H9808" s="3" t="inlineStr">
        <is>
          <t>농림지역</t>
        </is>
      </c>
      <c r="I9808" s="3" t="inlineStr">
        <is>
          <t>임야</t>
        </is>
      </c>
      <c r="J9808" s="3" t="inlineStr">
        <is>
          <t>유구읍</t>
        </is>
      </c>
    </row>
    <row r="9809">
      <c r="A9809" s="3" t="n">
        <v>2022</v>
      </c>
      <c r="B9809" s="4" t="n">
        <v>210</v>
      </c>
      <c r="C9809" s="4" t="n">
        <v>115</v>
      </c>
      <c r="D9809" s="4" t="n">
        <v>34.7875</v>
      </c>
      <c r="E9809" s="5" t="n">
        <v>6</v>
      </c>
      <c r="F9809" s="3" t="inlineStr">
        <is>
          <t>유구읍</t>
        </is>
      </c>
      <c r="G9809" s="3" t="inlineStr">
        <is>
          <t>만천리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유구읍</t>
        </is>
      </c>
    </row>
    <row r="9810">
      <c r="A9810" s="3" t="n">
        <v>2022</v>
      </c>
      <c r="B9810" s="4" t="n">
        <v>1500</v>
      </c>
      <c r="C9810" s="4" t="n">
        <v>674</v>
      </c>
      <c r="D9810" s="4" t="n">
        <v>203.885</v>
      </c>
      <c r="E9810" s="5" t="n">
        <v>7.4</v>
      </c>
      <c r="F9810" s="3" t="inlineStr">
        <is>
          <t>유구읍</t>
        </is>
      </c>
      <c r="G9810" s="3" t="inlineStr">
        <is>
          <t>신영리</t>
        </is>
      </c>
      <c r="H9810" s="3" t="inlineStr">
        <is>
          <t>보전관리지역</t>
        </is>
      </c>
      <c r="I9810" s="3" t="inlineStr">
        <is>
          <t>답</t>
        </is>
      </c>
      <c r="J9810" s="3" t="inlineStr">
        <is>
          <t>유구읍</t>
        </is>
      </c>
    </row>
    <row r="9811">
      <c r="A9811" s="3" t="n">
        <v>2022</v>
      </c>
      <c r="B9811" s="4" t="n">
        <v>3447</v>
      </c>
      <c r="C9811" s="4" t="n">
        <v>1329</v>
      </c>
      <c r="D9811" s="4" t="n">
        <v>402.0225</v>
      </c>
      <c r="E9811" s="5" t="n">
        <v>8.6</v>
      </c>
      <c r="F9811" s="3" t="inlineStr">
        <is>
          <t>유구읍</t>
        </is>
      </c>
      <c r="G9811" s="3" t="inlineStr">
        <is>
          <t>신영리</t>
        </is>
      </c>
      <c r="H9811" s="3" t="inlineStr">
        <is>
          <t>보전관리지역</t>
        </is>
      </c>
      <c r="I9811" s="3" t="inlineStr">
        <is>
          <t>답</t>
        </is>
      </c>
      <c r="J9811" s="3" t="inlineStr">
        <is>
          <t>유구읍</t>
        </is>
      </c>
    </row>
    <row r="9812">
      <c r="A9812" s="3" t="n">
        <v>2022</v>
      </c>
      <c r="B9812" s="4" t="n">
        <v>2194</v>
      </c>
      <c r="C9812" s="4" t="n">
        <v>846</v>
      </c>
      <c r="D9812" s="4" t="n">
        <v>255.915</v>
      </c>
      <c r="E9812" s="5" t="n">
        <v>8.6</v>
      </c>
      <c r="F9812" s="3" t="inlineStr">
        <is>
          <t>유구읍</t>
        </is>
      </c>
      <c r="G9812" s="3" t="inlineStr">
        <is>
          <t>신영리</t>
        </is>
      </c>
      <c r="H9812" s="3" t="inlineStr">
        <is>
          <t>보전관리지역</t>
        </is>
      </c>
      <c r="I9812" s="3" t="inlineStr">
        <is>
          <t>답</t>
        </is>
      </c>
      <c r="J9812" s="3" t="inlineStr">
        <is>
          <t>유구읍</t>
        </is>
      </c>
    </row>
    <row r="9813">
      <c r="A9813" s="3" t="n">
        <v>2022</v>
      </c>
      <c r="B9813" s="4" t="n">
        <v>1097</v>
      </c>
      <c r="C9813" s="4" t="n">
        <v>423</v>
      </c>
      <c r="D9813" s="4" t="n">
        <v>127.9575</v>
      </c>
      <c r="E9813" s="5" t="n">
        <v>8.6</v>
      </c>
      <c r="F9813" s="3" t="inlineStr">
        <is>
          <t>유구읍</t>
        </is>
      </c>
      <c r="G9813" s="3" t="inlineStr">
        <is>
          <t>신영리</t>
        </is>
      </c>
      <c r="H9813" s="3" t="inlineStr">
        <is>
          <t>보전관리지역</t>
        </is>
      </c>
      <c r="I9813" s="3" t="inlineStr">
        <is>
          <t>답</t>
        </is>
      </c>
      <c r="J9813" s="3" t="inlineStr">
        <is>
          <t>유구읍</t>
        </is>
      </c>
    </row>
    <row r="9814">
      <c r="A9814" s="3" t="n">
        <v>2022</v>
      </c>
      <c r="B9814" s="4" t="n">
        <v>3362</v>
      </c>
      <c r="C9814" s="4" t="n">
        <v>1296</v>
      </c>
      <c r="D9814" s="4" t="n">
        <v>392.04</v>
      </c>
      <c r="E9814" s="5" t="n">
        <v>8.6</v>
      </c>
      <c r="F9814" s="3" t="inlineStr">
        <is>
          <t>유구읍</t>
        </is>
      </c>
      <c r="G9814" s="3" t="inlineStr">
        <is>
          <t>신영리</t>
        </is>
      </c>
      <c r="H9814" s="3" t="inlineStr">
        <is>
          <t>보전관리지역</t>
        </is>
      </c>
      <c r="I9814" s="3" t="inlineStr">
        <is>
          <t>유지</t>
        </is>
      </c>
      <c r="J9814" s="3" t="inlineStr">
        <is>
          <t>유구읍</t>
        </is>
      </c>
    </row>
    <row r="9815">
      <c r="A9815" s="3" t="n">
        <v>2022</v>
      </c>
      <c r="B9815" s="4" t="n">
        <v>5400</v>
      </c>
      <c r="C9815" s="4" t="n">
        <v>2853</v>
      </c>
      <c r="D9815" s="4" t="n">
        <v>863.0325</v>
      </c>
      <c r="E9815" s="5" t="n">
        <v>6.3</v>
      </c>
      <c r="F9815" s="3" t="inlineStr">
        <is>
          <t>유구읍</t>
        </is>
      </c>
      <c r="G9815" s="3" t="inlineStr">
        <is>
          <t>신영리</t>
        </is>
      </c>
      <c r="H9815" s="3" t="inlineStr">
        <is>
          <t>보전관리지역</t>
        </is>
      </c>
      <c r="I9815" s="3" t="inlineStr">
        <is>
          <t>답</t>
        </is>
      </c>
      <c r="J9815" s="3" t="inlineStr">
        <is>
          <t>유구읍</t>
        </is>
      </c>
    </row>
    <row r="9816">
      <c r="A9816" s="3" t="n">
        <v>2023</v>
      </c>
      <c r="B9816" s="4" t="n">
        <v>4200</v>
      </c>
      <c r="C9816" s="4" t="n">
        <v>17036</v>
      </c>
      <c r="D9816" s="4" t="n">
        <v>5153.389999999999</v>
      </c>
      <c r="E9816" s="5" t="n">
        <v>0.8</v>
      </c>
      <c r="F9816" s="3" t="inlineStr">
        <is>
          <t>유구읍</t>
        </is>
      </c>
      <c r="G9816" s="3" t="inlineStr">
        <is>
          <t>세동리</t>
        </is>
      </c>
      <c r="H9816" s="3" t="inlineStr">
        <is>
          <t>농림지역</t>
        </is>
      </c>
      <c r="I9816" s="3" t="inlineStr">
        <is>
          <t>임야</t>
        </is>
      </c>
      <c r="J9816" s="3" t="inlineStr">
        <is>
          <t>유구읍</t>
        </is>
      </c>
    </row>
    <row r="9817">
      <c r="A9817" s="3" t="n">
        <v>2024</v>
      </c>
      <c r="B9817" s="4" t="n">
        <v>14648</v>
      </c>
      <c r="C9817" s="4" t="n">
        <v>650</v>
      </c>
      <c r="D9817" s="4" t="n">
        <v>196.625</v>
      </c>
      <c r="E9817" s="5" t="n">
        <v>74.5</v>
      </c>
      <c r="F9817" s="3" t="inlineStr">
        <is>
          <t>장군면</t>
        </is>
      </c>
      <c r="G9817" s="3" t="inlineStr">
        <is>
          <t>대교리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장군면</t>
        </is>
      </c>
    </row>
    <row r="9818">
      <c r="A9818" s="3" t="n">
        <v>2024</v>
      </c>
      <c r="B9818" s="4" t="n">
        <v>1352</v>
      </c>
      <c r="C9818" s="4" t="n">
        <v>60</v>
      </c>
      <c r="D9818" s="4" t="n">
        <v>18.15</v>
      </c>
      <c r="E9818" s="5" t="n">
        <v>74.5</v>
      </c>
      <c r="F9818" s="3" t="inlineStr">
        <is>
          <t>장군면</t>
        </is>
      </c>
      <c r="G9818" s="3" t="inlineStr">
        <is>
          <t>대교리</t>
        </is>
      </c>
      <c r="H9818" s="3" t="inlineStr">
        <is>
          <t>보전관리지역</t>
        </is>
      </c>
      <c r="I9818" s="3" t="inlineStr">
        <is>
          <t>임야</t>
        </is>
      </c>
      <c r="J9818" s="3" t="inlineStr">
        <is>
          <t>장군면</t>
        </is>
      </c>
    </row>
    <row r="9819">
      <c r="A9819" s="3" t="n">
        <v>2024</v>
      </c>
      <c r="B9819" s="4" t="n">
        <v>65000</v>
      </c>
      <c r="C9819" s="4" t="n">
        <v>1366</v>
      </c>
      <c r="D9819" s="4" t="n">
        <v>413.215</v>
      </c>
      <c r="E9819" s="5" t="n">
        <v>157.3</v>
      </c>
      <c r="F9819" s="3" t="inlineStr">
        <is>
          <t>전의면</t>
        </is>
      </c>
      <c r="G9819" s="3" t="inlineStr">
        <is>
          <t>영당리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전의면</t>
        </is>
      </c>
    </row>
    <row r="9820">
      <c r="A9820" s="3" t="n">
        <v>2024</v>
      </c>
      <c r="B9820" s="4" t="n">
        <v>15000</v>
      </c>
      <c r="C9820" s="4" t="n">
        <v>1507</v>
      </c>
      <c r="D9820" s="4" t="n">
        <v>455.8675</v>
      </c>
      <c r="E9820" s="5" t="n">
        <v>32.9</v>
      </c>
      <c r="F9820" s="3" t="inlineStr">
        <is>
          <t>장군면</t>
        </is>
      </c>
      <c r="G9820" s="3" t="inlineStr">
        <is>
          <t>용암리</t>
        </is>
      </c>
      <c r="H9820" s="3" t="inlineStr">
        <is>
          <t>보전관리지역</t>
        </is>
      </c>
      <c r="I9820" s="3" t="inlineStr">
        <is>
          <t>전</t>
        </is>
      </c>
      <c r="J9820" s="3" t="inlineStr">
        <is>
          <t>장군면</t>
        </is>
      </c>
    </row>
    <row r="9821">
      <c r="A9821" s="3" t="n">
        <v>2024</v>
      </c>
      <c r="B9821" s="4" t="n">
        <v>5000</v>
      </c>
      <c r="C9821" s="4" t="n">
        <v>1924</v>
      </c>
      <c r="D9821" s="4" t="n">
        <v>582.01</v>
      </c>
      <c r="E9821" s="5" t="n">
        <v>8.6</v>
      </c>
      <c r="F9821" s="3" t="inlineStr">
        <is>
          <t>부강면</t>
        </is>
      </c>
      <c r="G9821" s="3" t="inlineStr">
        <is>
          <t>행산리</t>
        </is>
      </c>
      <c r="H9821" s="3" t="inlineStr">
        <is>
          <t>계획관리지역</t>
        </is>
      </c>
      <c r="I9821" s="3" t="inlineStr">
        <is>
          <t>답</t>
        </is>
      </c>
      <c r="J9821" s="3" t="inlineStr">
        <is>
          <t>부강면</t>
        </is>
      </c>
    </row>
    <row r="9822">
      <c r="A9822" s="3" t="n">
        <v>2024</v>
      </c>
      <c r="B9822" s="4" t="n">
        <v>26400</v>
      </c>
      <c r="C9822" s="4" t="n">
        <v>221</v>
      </c>
      <c r="D9822" s="4" t="n">
        <v>66.85249999999999</v>
      </c>
      <c r="E9822" s="5" t="n">
        <v>394.9</v>
      </c>
      <c r="F9822" s="3" t="inlineStr">
        <is>
          <t>장군면</t>
        </is>
      </c>
      <c r="G9822" s="3" t="inlineStr">
        <is>
          <t>대교리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장군면</t>
        </is>
      </c>
    </row>
    <row r="9823">
      <c r="A9823" s="3" t="n">
        <v>2024</v>
      </c>
      <c r="B9823" s="4" t="n">
        <v>4700</v>
      </c>
      <c r="C9823" s="4" t="n">
        <v>326</v>
      </c>
      <c r="D9823" s="4" t="n">
        <v>98.61499999999999</v>
      </c>
      <c r="E9823" s="5" t="n">
        <v>47.7</v>
      </c>
      <c r="F9823" s="3" t="inlineStr">
        <is>
          <t>소정면</t>
        </is>
      </c>
      <c r="G9823" s="3" t="inlineStr">
        <is>
          <t>운당리</t>
        </is>
      </c>
      <c r="H9823" s="3" t="inlineStr">
        <is>
          <t>계획관리지역</t>
        </is>
      </c>
      <c r="I9823" s="3" t="inlineStr">
        <is>
          <t>대</t>
        </is>
      </c>
      <c r="J9823" s="3" t="inlineStr">
        <is>
          <t>소정면</t>
        </is>
      </c>
    </row>
    <row r="9824">
      <c r="A9824" s="3" t="n">
        <v>2024</v>
      </c>
      <c r="B9824" s="4" t="n">
        <v>5614</v>
      </c>
      <c r="C9824" s="4" t="n">
        <v>54</v>
      </c>
      <c r="D9824" s="4" t="n">
        <v>16.335</v>
      </c>
      <c r="E9824" s="5" t="n">
        <v>343.7</v>
      </c>
      <c r="F9824" s="3" t="inlineStr">
        <is>
          <t>조치원읍</t>
        </is>
      </c>
      <c r="G9824" s="3" t="inlineStr">
        <is>
          <t>평리</t>
        </is>
      </c>
      <c r="H9824" s="3" t="inlineStr">
        <is>
          <t>제2종일반주거지역</t>
        </is>
      </c>
      <c r="I9824" s="3" t="inlineStr">
        <is>
          <t>대</t>
        </is>
      </c>
      <c r="J9824" s="3" t="inlineStr">
        <is>
          <t>조치원읍</t>
        </is>
      </c>
    </row>
    <row r="9825">
      <c r="A9825" s="3" t="n">
        <v>2024</v>
      </c>
      <c r="B9825" s="4" t="n">
        <v>25000</v>
      </c>
      <c r="C9825" s="4" t="n">
        <v>2202.8</v>
      </c>
      <c r="D9825" s="4" t="n">
        <v>666.347</v>
      </c>
      <c r="E9825" s="5" t="n">
        <v>37.5</v>
      </c>
      <c r="F9825" s="3" t="inlineStr">
        <is>
          <t>연동면</t>
        </is>
      </c>
      <c r="G9825" s="3" t="inlineStr">
        <is>
          <t>명학리</t>
        </is>
      </c>
      <c r="H9825" s="3" t="inlineStr">
        <is>
          <t>농림지역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2024</v>
      </c>
      <c r="B9826" s="4" t="n">
        <v>182000</v>
      </c>
      <c r="C9826" s="4" t="n">
        <v>1041</v>
      </c>
      <c r="D9826" s="4" t="n">
        <v>314.9025</v>
      </c>
      <c r="E9826" s="5" t="n">
        <v>578</v>
      </c>
      <c r="F9826" s="3" t="inlineStr">
        <is>
          <t>연동면</t>
        </is>
      </c>
      <c r="G9826" s="3" t="inlineStr">
        <is>
          <t>내판리</t>
        </is>
      </c>
      <c r="H9826" s="3" t="inlineStr">
        <is>
          <t>계획관리지역</t>
        </is>
      </c>
      <c r="I9826" s="3" t="inlineStr">
        <is>
          <t>잡종지</t>
        </is>
      </c>
      <c r="J9826" s="3" t="inlineStr">
        <is>
          <t>연동면</t>
        </is>
      </c>
    </row>
    <row r="9827">
      <c r="A9827" s="3" t="n">
        <v>2024</v>
      </c>
      <c r="B9827" s="4" t="n">
        <v>81000</v>
      </c>
      <c r="C9827" s="4" t="n">
        <v>2699</v>
      </c>
      <c r="D9827" s="4" t="n">
        <v>816.4475</v>
      </c>
      <c r="E9827" s="5" t="n">
        <v>99.2</v>
      </c>
      <c r="F9827" s="3" t="inlineStr">
        <is>
          <t>소정면</t>
        </is>
      </c>
      <c r="G9827" s="3" t="inlineStr">
        <is>
          <t>고등리</t>
        </is>
      </c>
      <c r="H9827" s="3" t="inlineStr">
        <is>
          <t>계획관리지역</t>
        </is>
      </c>
      <c r="I9827" s="3" t="inlineStr">
        <is>
          <t>전</t>
        </is>
      </c>
      <c r="J9827" s="3" t="inlineStr">
        <is>
          <t>소정면</t>
        </is>
      </c>
    </row>
    <row r="9828">
      <c r="A9828" s="3" t="n">
        <v>2024</v>
      </c>
      <c r="B9828" s="4" t="n">
        <v>22500</v>
      </c>
      <c r="C9828" s="4" t="n">
        <v>621</v>
      </c>
      <c r="D9828" s="4" t="n">
        <v>187.8525</v>
      </c>
      <c r="E9828" s="5" t="n">
        <v>119.8</v>
      </c>
      <c r="F9828" s="3" t="inlineStr">
        <is>
          <t>장군면</t>
        </is>
      </c>
      <c r="G9828" s="3" t="inlineStr">
        <is>
          <t>하봉리</t>
        </is>
      </c>
      <c r="H9828" s="3" t="inlineStr">
        <is>
          <t>계획관리지역</t>
        </is>
      </c>
      <c r="I9828" s="3" t="inlineStr">
        <is>
          <t>답</t>
        </is>
      </c>
      <c r="J9828" s="3" t="inlineStr">
        <is>
          <t>장군면</t>
        </is>
      </c>
    </row>
    <row r="9829">
      <c r="A9829" s="3" t="n">
        <v>2024</v>
      </c>
      <c r="B9829" s="4" t="n">
        <v>13000</v>
      </c>
      <c r="C9829" s="4" t="n">
        <v>294</v>
      </c>
      <c r="D9829" s="4" t="n">
        <v>88.935</v>
      </c>
      <c r="E9829" s="5" t="n">
        <v>146.2</v>
      </c>
      <c r="F9829" s="3" t="inlineStr">
        <is>
          <t>조치원읍</t>
        </is>
      </c>
      <c r="G9829" s="3" t="inlineStr">
        <is>
          <t>서창리</t>
        </is>
      </c>
      <c r="H9829" s="3" t="inlineStr">
        <is>
          <t>제1종일반주거지역</t>
        </is>
      </c>
      <c r="I9829" s="3" t="inlineStr">
        <is>
          <t>대</t>
        </is>
      </c>
      <c r="J9829" s="3" t="inlineStr">
        <is>
          <t>조치원읍</t>
        </is>
      </c>
    </row>
    <row r="9830">
      <c r="A9830" s="3" t="n">
        <v>2024</v>
      </c>
      <c r="B9830" s="4" t="n">
        <v>70800</v>
      </c>
      <c r="C9830" s="4" t="n">
        <v>3874</v>
      </c>
      <c r="D9830" s="4" t="n">
        <v>1171.885</v>
      </c>
      <c r="E9830" s="5" t="n">
        <v>60.4</v>
      </c>
      <c r="F9830" s="3" t="inlineStr">
        <is>
          <t>전의면</t>
        </is>
      </c>
      <c r="G9830" s="3" t="inlineStr">
        <is>
          <t>신정리</t>
        </is>
      </c>
      <c r="H9830" s="3" t="inlineStr">
        <is>
          <t>계획관리지역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2024</v>
      </c>
      <c r="B9831" s="4" t="n">
        <v>3200</v>
      </c>
      <c r="C9831" s="4" t="n">
        <v>357</v>
      </c>
      <c r="D9831" s="4" t="n">
        <v>107.9925</v>
      </c>
      <c r="E9831" s="5" t="n">
        <v>29.6</v>
      </c>
      <c r="F9831" s="3" t="inlineStr">
        <is>
          <t>전의면</t>
        </is>
      </c>
      <c r="G9831" s="3" t="inlineStr">
        <is>
          <t>신정리</t>
        </is>
      </c>
      <c r="H9831" s="3" t="inlineStr">
        <is>
          <t>계획관리지역</t>
        </is>
      </c>
      <c r="I9831" s="3" t="inlineStr">
        <is>
          <t>전</t>
        </is>
      </c>
      <c r="J9831" s="3" t="inlineStr">
        <is>
          <t>전의면</t>
        </is>
      </c>
    </row>
    <row r="9832">
      <c r="A9832" s="3" t="n">
        <v>2022</v>
      </c>
      <c r="B9832" s="4" t="n">
        <v>239</v>
      </c>
      <c r="C9832" s="4" t="n">
        <v>595</v>
      </c>
      <c r="D9832" s="4" t="n">
        <v>179.9875</v>
      </c>
      <c r="E9832" s="5" t="n">
        <v>1.3</v>
      </c>
      <c r="F9832" s="3" t="inlineStr">
        <is>
          <t>유구읍</t>
        </is>
      </c>
      <c r="G9832" s="3" t="inlineStr">
        <is>
          <t>명곡리</t>
        </is>
      </c>
      <c r="H9832" s="3" t="inlineStr">
        <is>
          <t>계획관리지역</t>
        </is>
      </c>
      <c r="I9832" s="3" t="inlineStr">
        <is>
          <t>전</t>
        </is>
      </c>
      <c r="J9832" s="3" t="inlineStr">
        <is>
          <t>유구읍</t>
        </is>
      </c>
    </row>
    <row r="9833">
      <c r="A9833" s="3" t="n">
        <v>2022</v>
      </c>
      <c r="B9833" s="4" t="n">
        <v>676</v>
      </c>
      <c r="C9833" s="4" t="n">
        <v>1600</v>
      </c>
      <c r="D9833" s="4" t="n">
        <v>484</v>
      </c>
      <c r="E9833" s="5" t="n">
        <v>1.4</v>
      </c>
      <c r="F9833" s="3" t="inlineStr">
        <is>
          <t>유구읍</t>
        </is>
      </c>
      <c r="G9833" s="3" t="inlineStr">
        <is>
          <t>명곡리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유구읍</t>
        </is>
      </c>
    </row>
    <row r="9834">
      <c r="A9834" s="3" t="n">
        <v>2022</v>
      </c>
      <c r="B9834" s="4" t="n">
        <v>1085</v>
      </c>
      <c r="C9834" s="4" t="n">
        <v>1081</v>
      </c>
      <c r="D9834" s="4" t="n">
        <v>327.0025</v>
      </c>
      <c r="E9834" s="5" t="n">
        <v>3.3</v>
      </c>
      <c r="F9834" s="3" t="inlineStr">
        <is>
          <t>유구읍</t>
        </is>
      </c>
      <c r="G9834" s="3" t="inlineStr">
        <is>
          <t>명곡리</t>
        </is>
      </c>
      <c r="H9834" s="3" t="inlineStr">
        <is>
          <t>계획관리지역</t>
        </is>
      </c>
      <c r="I9834" s="3" t="inlineStr">
        <is>
          <t>전</t>
        </is>
      </c>
      <c r="J9834" s="3" t="inlineStr">
        <is>
          <t>유구읍</t>
        </is>
      </c>
    </row>
    <row r="9835">
      <c r="A9835" s="3" t="n">
        <v>2022</v>
      </c>
      <c r="B9835" s="4" t="n">
        <v>1150</v>
      </c>
      <c r="C9835" s="4" t="n">
        <v>403</v>
      </c>
      <c r="D9835" s="4" t="n">
        <v>121.9075</v>
      </c>
      <c r="E9835" s="5" t="n">
        <v>9.4</v>
      </c>
      <c r="F9835" s="3" t="inlineStr">
        <is>
          <t>유구읍</t>
        </is>
      </c>
      <c r="G9835" s="3" t="inlineStr">
        <is>
          <t>추계리</t>
        </is>
      </c>
      <c r="H9835" s="3" t="inlineStr">
        <is>
          <t>보전관리지역</t>
        </is>
      </c>
      <c r="I9835" s="3" t="inlineStr">
        <is>
          <t>전</t>
        </is>
      </c>
      <c r="J9835" s="3" t="inlineStr">
        <is>
          <t>유구읍</t>
        </is>
      </c>
    </row>
    <row r="9836">
      <c r="A9836" s="3" t="n">
        <v>2022</v>
      </c>
      <c r="B9836" s="4" t="n">
        <v>1860</v>
      </c>
      <c r="C9836" s="4" t="n">
        <v>369</v>
      </c>
      <c r="D9836" s="4" t="n">
        <v>111.6225</v>
      </c>
      <c r="E9836" s="5" t="n">
        <v>16.7</v>
      </c>
      <c r="F9836" s="3" t="inlineStr">
        <is>
          <t>유구읍</t>
        </is>
      </c>
      <c r="G9836" s="3" t="inlineStr">
        <is>
          <t>명곡리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유구읍</t>
        </is>
      </c>
    </row>
    <row r="9837">
      <c r="A9837" s="3" t="n">
        <v>2022</v>
      </c>
      <c r="B9837" s="4" t="n">
        <v>1140</v>
      </c>
      <c r="C9837" s="4" t="n">
        <v>226</v>
      </c>
      <c r="D9837" s="4" t="n">
        <v>68.36499999999999</v>
      </c>
      <c r="E9837" s="5" t="n">
        <v>16.7</v>
      </c>
      <c r="F9837" s="3" t="inlineStr">
        <is>
          <t>유구읍</t>
        </is>
      </c>
      <c r="G9837" s="3" t="inlineStr">
        <is>
          <t>명곡리</t>
        </is>
      </c>
      <c r="H9837" s="3" t="inlineStr">
        <is>
          <t>계획관리지역</t>
        </is>
      </c>
      <c r="I9837" s="3" t="inlineStr">
        <is>
          <t>대</t>
        </is>
      </c>
      <c r="J9837" s="3" t="inlineStr">
        <is>
          <t>유구읍</t>
        </is>
      </c>
    </row>
    <row r="9838">
      <c r="A9838" s="3" t="n">
        <v>2022</v>
      </c>
      <c r="B9838" s="4" t="n">
        <v>11000</v>
      </c>
      <c r="C9838" s="4" t="n">
        <v>525</v>
      </c>
      <c r="D9838" s="4" t="n">
        <v>158.8125</v>
      </c>
      <c r="E9838" s="5" t="n">
        <v>69.3</v>
      </c>
      <c r="F9838" s="3" t="inlineStr">
        <is>
          <t>유구읍</t>
        </is>
      </c>
      <c r="G9838" s="3" t="inlineStr">
        <is>
          <t>석남리</t>
        </is>
      </c>
      <c r="H9838" s="3" t="inlineStr">
        <is>
          <t>제2종일반주거지역</t>
        </is>
      </c>
      <c r="I9838" s="3" t="inlineStr">
        <is>
          <t>대</t>
        </is>
      </c>
      <c r="J9838" s="3" t="inlineStr">
        <is>
          <t>유구읍</t>
        </is>
      </c>
    </row>
    <row r="9839">
      <c r="A9839" s="3" t="n">
        <v>2022</v>
      </c>
      <c r="B9839" s="4" t="n">
        <v>2000</v>
      </c>
      <c r="C9839" s="4" t="n">
        <v>301</v>
      </c>
      <c r="D9839" s="4" t="n">
        <v>91.05249999999999</v>
      </c>
      <c r="E9839" s="5" t="n">
        <v>22</v>
      </c>
      <c r="F9839" s="3" t="inlineStr">
        <is>
          <t>유구읍</t>
        </is>
      </c>
      <c r="G9839" s="3" t="inlineStr">
        <is>
          <t>문금리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유구읍</t>
        </is>
      </c>
    </row>
    <row r="9840">
      <c r="A9840" s="3" t="n">
        <v>2022</v>
      </c>
      <c r="B9840" s="4" t="n">
        <v>4500</v>
      </c>
      <c r="C9840" s="4" t="n">
        <v>1044</v>
      </c>
      <c r="D9840" s="4" t="n">
        <v>315.81</v>
      </c>
      <c r="E9840" s="5" t="n">
        <v>14.2</v>
      </c>
      <c r="F9840" s="3" t="inlineStr">
        <is>
          <t>유구읍</t>
        </is>
      </c>
      <c r="G9840" s="3" t="inlineStr">
        <is>
          <t>세동리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유구읍</t>
        </is>
      </c>
    </row>
    <row r="9841">
      <c r="A9841" s="3" t="n">
        <v>2022</v>
      </c>
      <c r="B9841" s="4" t="n">
        <v>3900</v>
      </c>
      <c r="C9841" s="4" t="n">
        <v>945</v>
      </c>
      <c r="D9841" s="4" t="n">
        <v>285.8625</v>
      </c>
      <c r="E9841" s="5" t="n">
        <v>13.6</v>
      </c>
      <c r="F9841" s="3" t="inlineStr">
        <is>
          <t>유구읍</t>
        </is>
      </c>
      <c r="G9841" s="3" t="inlineStr">
        <is>
          <t>세동리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유구읍</t>
        </is>
      </c>
    </row>
    <row r="9842">
      <c r="A9842" s="3" t="n">
        <v>2022</v>
      </c>
      <c r="B9842" s="4" t="n">
        <v>100</v>
      </c>
      <c r="C9842" s="4" t="n">
        <v>66</v>
      </c>
      <c r="D9842" s="4" t="n">
        <v>19.965</v>
      </c>
      <c r="E9842" s="5" t="n">
        <v>5</v>
      </c>
      <c r="F9842" s="3" t="inlineStr">
        <is>
          <t>유구읍</t>
        </is>
      </c>
      <c r="G9842" s="3" t="inlineStr">
        <is>
          <t>세동리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유구읍</t>
        </is>
      </c>
    </row>
    <row r="9843">
      <c r="A9843" s="3" t="n">
        <v>2022</v>
      </c>
      <c r="B9843" s="4" t="n">
        <v>1300</v>
      </c>
      <c r="C9843" s="4" t="n">
        <v>671</v>
      </c>
      <c r="D9843" s="4" t="n">
        <v>202.9775</v>
      </c>
      <c r="E9843" s="5" t="n">
        <v>6.4</v>
      </c>
      <c r="F9843" s="3" t="inlineStr">
        <is>
          <t>유구읍</t>
        </is>
      </c>
      <c r="G9843" s="3" t="inlineStr">
        <is>
          <t>세동리</t>
        </is>
      </c>
      <c r="H9843" s="3" t="inlineStr">
        <is>
          <t>계획관리지역</t>
        </is>
      </c>
      <c r="I9843" s="3" t="inlineStr">
        <is>
          <t>전</t>
        </is>
      </c>
      <c r="J9843" s="3" t="inlineStr">
        <is>
          <t>유구읍</t>
        </is>
      </c>
    </row>
    <row r="9844">
      <c r="A9844" s="3" t="n">
        <v>2023</v>
      </c>
      <c r="B9844" s="4" t="n">
        <v>1934</v>
      </c>
      <c r="C9844" s="4" t="n">
        <v>1127</v>
      </c>
      <c r="D9844" s="4" t="n">
        <v>340.9175</v>
      </c>
      <c r="E9844" s="5" t="n">
        <v>5.7</v>
      </c>
      <c r="F9844" s="3" t="inlineStr">
        <is>
          <t>유구읍</t>
        </is>
      </c>
      <c r="G9844" s="3" t="inlineStr">
        <is>
          <t>명곡리</t>
        </is>
      </c>
      <c r="H9844" s="3" t="inlineStr">
        <is>
          <t>계획관리지역</t>
        </is>
      </c>
      <c r="I9844" s="3" t="inlineStr">
        <is>
          <t>전</t>
        </is>
      </c>
      <c r="J9844" s="3" t="inlineStr">
        <is>
          <t>유구읍</t>
        </is>
      </c>
    </row>
    <row r="9845">
      <c r="A9845" s="3" t="n">
        <v>2023</v>
      </c>
      <c r="B9845" s="4" t="n">
        <v>1566</v>
      </c>
      <c r="C9845" s="4" t="n">
        <v>913</v>
      </c>
      <c r="D9845" s="4" t="n">
        <v>276.1825</v>
      </c>
      <c r="E9845" s="5" t="n">
        <v>5.7</v>
      </c>
      <c r="F9845" s="3" t="inlineStr">
        <is>
          <t>유구읍</t>
        </is>
      </c>
      <c r="G9845" s="3" t="inlineStr">
        <is>
          <t>명곡리</t>
        </is>
      </c>
      <c r="H9845" s="3" t="inlineStr">
        <is>
          <t>계획관리지역</t>
        </is>
      </c>
      <c r="I9845" s="3" t="inlineStr">
        <is>
          <t>전</t>
        </is>
      </c>
      <c r="J9845" s="3" t="inlineStr">
        <is>
          <t>유구읍</t>
        </is>
      </c>
    </row>
    <row r="9846">
      <c r="A9846" s="3" t="n">
        <v>2023</v>
      </c>
      <c r="B9846" s="4" t="n">
        <v>11447</v>
      </c>
      <c r="C9846" s="4" t="n">
        <v>13252</v>
      </c>
      <c r="D9846" s="4" t="n">
        <v>4008.73</v>
      </c>
      <c r="E9846" s="5" t="n">
        <v>2.9</v>
      </c>
      <c r="F9846" s="3" t="inlineStr">
        <is>
          <t>유구읍</t>
        </is>
      </c>
      <c r="G9846" s="3" t="inlineStr">
        <is>
          <t>유구리</t>
        </is>
      </c>
      <c r="H9846" s="3" t="inlineStr">
        <is>
          <t>농림지역</t>
        </is>
      </c>
      <c r="I9846" s="3" t="inlineStr">
        <is>
          <t>임야</t>
        </is>
      </c>
      <c r="J9846" s="3" t="inlineStr">
        <is>
          <t>유구읍</t>
        </is>
      </c>
    </row>
    <row r="9847">
      <c r="A9847" s="3" t="n">
        <v>2023</v>
      </c>
      <c r="B9847" s="4" t="n">
        <v>10553</v>
      </c>
      <c r="C9847" s="4" t="n">
        <v>12217</v>
      </c>
      <c r="D9847" s="4" t="n">
        <v>3695.6425</v>
      </c>
      <c r="E9847" s="5" t="n">
        <v>2.9</v>
      </c>
      <c r="F9847" s="3" t="inlineStr">
        <is>
          <t>유구읍</t>
        </is>
      </c>
      <c r="G9847" s="3" t="inlineStr">
        <is>
          <t>유구리</t>
        </is>
      </c>
      <c r="H9847" s="3" t="inlineStr">
        <is>
          <t>계획관리지역</t>
        </is>
      </c>
      <c r="I9847" s="3" t="inlineStr">
        <is>
          <t>임야</t>
        </is>
      </c>
      <c r="J9847" s="3" t="inlineStr">
        <is>
          <t>유구읍</t>
        </is>
      </c>
    </row>
    <row r="9848">
      <c r="A9848" s="3" t="n">
        <v>2023</v>
      </c>
      <c r="B9848" s="4" t="n">
        <v>10000</v>
      </c>
      <c r="C9848" s="4" t="n">
        <v>2945</v>
      </c>
      <c r="D9848" s="4" t="n">
        <v>890.8625</v>
      </c>
      <c r="E9848" s="5" t="n">
        <v>11.2</v>
      </c>
      <c r="F9848" s="3" t="inlineStr">
        <is>
          <t>유구읍</t>
        </is>
      </c>
      <c r="G9848" s="3" t="inlineStr">
        <is>
          <t>입석리</t>
        </is>
      </c>
      <c r="H9848" s="3" t="inlineStr">
        <is>
          <t>농림지역</t>
        </is>
      </c>
      <c r="I9848" s="3" t="inlineStr">
        <is>
          <t>답</t>
        </is>
      </c>
      <c r="J9848" s="3" t="inlineStr">
        <is>
          <t>유구읍</t>
        </is>
      </c>
    </row>
    <row r="9849">
      <c r="A9849" s="3" t="n">
        <v>2023</v>
      </c>
      <c r="B9849" s="4" t="n">
        <v>4323</v>
      </c>
      <c r="C9849" s="4" t="n">
        <v>962</v>
      </c>
      <c r="D9849" s="4" t="n">
        <v>291.005</v>
      </c>
      <c r="E9849" s="5" t="n">
        <v>14.9</v>
      </c>
      <c r="F9849" s="3" t="inlineStr">
        <is>
          <t>유구읍</t>
        </is>
      </c>
      <c r="G9849" s="3" t="inlineStr">
        <is>
          <t>명곡리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유구읍</t>
        </is>
      </c>
    </row>
    <row r="9850">
      <c r="A9850" s="3" t="n">
        <v>2023</v>
      </c>
      <c r="B9850" s="4" t="n">
        <v>222</v>
      </c>
      <c r="C9850" s="4" t="n">
        <v>70</v>
      </c>
      <c r="D9850" s="4" t="n">
        <v>21.175</v>
      </c>
      <c r="E9850" s="5" t="n">
        <v>10.5</v>
      </c>
      <c r="F9850" s="3" t="inlineStr">
        <is>
          <t>유구읍</t>
        </is>
      </c>
      <c r="G9850" s="3" t="inlineStr">
        <is>
          <t>명곡리</t>
        </is>
      </c>
      <c r="H9850" s="3" t="inlineStr">
        <is>
          <t>계획관리지역</t>
        </is>
      </c>
      <c r="I9850" s="3" t="inlineStr">
        <is>
          <t>도로</t>
        </is>
      </c>
      <c r="J9850" s="3" t="inlineStr">
        <is>
          <t>유구읍</t>
        </is>
      </c>
    </row>
    <row r="9851">
      <c r="A9851" s="3" t="n">
        <v>2023</v>
      </c>
      <c r="B9851" s="4" t="n">
        <v>764</v>
      </c>
      <c r="C9851" s="4" t="n">
        <v>153</v>
      </c>
      <c r="D9851" s="4" t="n">
        <v>46.2825</v>
      </c>
      <c r="E9851" s="5" t="n">
        <v>16.5</v>
      </c>
      <c r="F9851" s="3" t="inlineStr">
        <is>
          <t>유구읍</t>
        </is>
      </c>
      <c r="G9851" s="3" t="inlineStr">
        <is>
          <t>명곡리</t>
        </is>
      </c>
      <c r="H9851" s="3" t="inlineStr">
        <is>
          <t>계획관리지역</t>
        </is>
      </c>
      <c r="I9851" s="3" t="inlineStr">
        <is>
          <t>답</t>
        </is>
      </c>
      <c r="J9851" s="3" t="inlineStr">
        <is>
          <t>유구읍</t>
        </is>
      </c>
    </row>
    <row r="9852">
      <c r="A9852" s="3" t="n">
        <v>2023</v>
      </c>
      <c r="B9852" s="4" t="n">
        <v>3730</v>
      </c>
      <c r="C9852" s="4" t="n">
        <v>830</v>
      </c>
      <c r="D9852" s="4" t="n">
        <v>251.075</v>
      </c>
      <c r="E9852" s="5" t="n">
        <v>14.9</v>
      </c>
      <c r="F9852" s="3" t="inlineStr">
        <is>
          <t>유구읍</t>
        </is>
      </c>
      <c r="G9852" s="3" t="inlineStr">
        <is>
          <t>명곡리</t>
        </is>
      </c>
      <c r="H9852" s="3" t="inlineStr">
        <is>
          <t>계획관리지역</t>
        </is>
      </c>
      <c r="I9852" s="3" t="inlineStr">
        <is>
          <t>답</t>
        </is>
      </c>
      <c r="J9852" s="3" t="inlineStr">
        <is>
          <t>유구읍</t>
        </is>
      </c>
    </row>
    <row r="9853">
      <c r="A9853" s="3" t="n">
        <v>2023</v>
      </c>
      <c r="B9853" s="4" t="n">
        <v>15500</v>
      </c>
      <c r="C9853" s="4" t="n">
        <v>1387</v>
      </c>
      <c r="D9853" s="4" t="n">
        <v>419.5675</v>
      </c>
      <c r="E9853" s="5" t="n">
        <v>36.9</v>
      </c>
      <c r="F9853" s="3" t="inlineStr">
        <is>
          <t>유구읍</t>
        </is>
      </c>
      <c r="G9853" s="3" t="inlineStr">
        <is>
          <t>문금리</t>
        </is>
      </c>
      <c r="H9853" s="3" t="inlineStr">
        <is>
          <t>보전관리지역</t>
        </is>
      </c>
      <c r="I9853" s="3" t="inlineStr">
        <is>
          <t>대</t>
        </is>
      </c>
      <c r="J9853" s="3" t="inlineStr">
        <is>
          <t>유구읍</t>
        </is>
      </c>
    </row>
    <row r="9854">
      <c r="A9854" s="3" t="n">
        <v>2023</v>
      </c>
      <c r="B9854" s="4" t="n">
        <v>16800</v>
      </c>
      <c r="C9854" s="4" t="n">
        <v>1388</v>
      </c>
      <c r="D9854" s="4" t="n">
        <v>419.87</v>
      </c>
      <c r="E9854" s="5" t="n">
        <v>40</v>
      </c>
      <c r="F9854" s="3" t="inlineStr">
        <is>
          <t>부강면</t>
        </is>
      </c>
      <c r="G9854" s="3" t="inlineStr">
        <is>
          <t>노호리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부강면</t>
        </is>
      </c>
    </row>
    <row r="9855">
      <c r="A9855" s="3" t="n">
        <v>2023</v>
      </c>
      <c r="B9855" s="4" t="n">
        <v>8500</v>
      </c>
      <c r="C9855" s="4" t="n">
        <v>704</v>
      </c>
      <c r="D9855" s="4" t="n">
        <v>212.96</v>
      </c>
      <c r="E9855" s="5" t="n">
        <v>39.9</v>
      </c>
      <c r="F9855" s="3" t="inlineStr">
        <is>
          <t>부강면</t>
        </is>
      </c>
      <c r="G9855" s="3" t="inlineStr">
        <is>
          <t>노호리</t>
        </is>
      </c>
      <c r="H9855" s="3" t="inlineStr">
        <is>
          <t>생산관리지역</t>
        </is>
      </c>
      <c r="I9855" s="3" t="inlineStr">
        <is>
          <t>답</t>
        </is>
      </c>
      <c r="J9855" s="3" t="inlineStr">
        <is>
          <t>부강면</t>
        </is>
      </c>
    </row>
    <row r="9856">
      <c r="A9856" s="3" t="n">
        <v>2023</v>
      </c>
      <c r="B9856" s="4" t="n">
        <v>7000</v>
      </c>
      <c r="C9856" s="4" t="n">
        <v>367</v>
      </c>
      <c r="D9856" s="4" t="n">
        <v>111.0175</v>
      </c>
      <c r="E9856" s="5" t="n">
        <v>63.1</v>
      </c>
      <c r="F9856" s="3" t="inlineStr">
        <is>
          <t>전동면</t>
        </is>
      </c>
      <c r="G9856" s="3" t="inlineStr">
        <is>
          <t>심중리</t>
        </is>
      </c>
      <c r="H9856" s="3" t="inlineStr">
        <is>
          <t>계획관리지역</t>
        </is>
      </c>
      <c r="I9856" s="3" t="inlineStr">
        <is>
          <t>공장용지</t>
        </is>
      </c>
      <c r="J9856" s="3" t="inlineStr">
        <is>
          <t>전동면</t>
        </is>
      </c>
    </row>
    <row r="9857">
      <c r="A9857" s="3" t="n">
        <v>2023</v>
      </c>
      <c r="B9857" s="4" t="n">
        <v>2600</v>
      </c>
      <c r="C9857" s="4" t="n">
        <v>110</v>
      </c>
      <c r="D9857" s="4" t="n">
        <v>33.275</v>
      </c>
      <c r="E9857" s="5" t="n">
        <v>78.09999999999999</v>
      </c>
      <c r="F9857" s="3" t="inlineStr">
        <is>
          <t>연서면</t>
        </is>
      </c>
      <c r="G9857" s="3" t="inlineStr">
        <is>
          <t>쌍류리</t>
        </is>
      </c>
      <c r="H9857" s="3" t="inlineStr">
        <is>
          <t>생산관리지역</t>
        </is>
      </c>
      <c r="I9857" s="3" t="inlineStr">
        <is>
          <t>전</t>
        </is>
      </c>
      <c r="J9857" s="3" t="inlineStr">
        <is>
          <t>연서면</t>
        </is>
      </c>
    </row>
    <row r="9858">
      <c r="A9858" s="3" t="n">
        <v>2023</v>
      </c>
      <c r="B9858" s="4" t="n">
        <v>154</v>
      </c>
      <c r="C9858" s="4" t="n">
        <v>11</v>
      </c>
      <c r="D9858" s="4" t="n">
        <v>3.3275</v>
      </c>
      <c r="E9858" s="5" t="n">
        <v>46.3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임야</t>
        </is>
      </c>
      <c r="J9858" s="3" t="inlineStr">
        <is>
          <t>연동면</t>
        </is>
      </c>
    </row>
    <row r="9859">
      <c r="A9859" s="3" t="n">
        <v>2023</v>
      </c>
      <c r="B9859" s="4" t="n">
        <v>8346</v>
      </c>
      <c r="C9859" s="4" t="n">
        <v>597</v>
      </c>
      <c r="D9859" s="4" t="n">
        <v>180.5925</v>
      </c>
      <c r="E9859" s="5" t="n">
        <v>46.2</v>
      </c>
      <c r="F9859" s="3" t="inlineStr">
        <is>
          <t>연동면</t>
        </is>
      </c>
      <c r="G9859" s="3" t="inlineStr">
        <is>
          <t>내판리</t>
        </is>
      </c>
      <c r="H9859" s="3" t="inlineStr">
        <is>
          <t>계획관리지역</t>
        </is>
      </c>
      <c r="I9859" s="3" t="inlineStr">
        <is>
          <t>대</t>
        </is>
      </c>
      <c r="J9859" s="3" t="inlineStr">
        <is>
          <t>연동면</t>
        </is>
      </c>
    </row>
    <row r="9860">
      <c r="A9860" s="3" t="n">
        <v>2023</v>
      </c>
      <c r="B9860" s="4" t="n">
        <v>50</v>
      </c>
      <c r="C9860" s="4" t="n">
        <v>5</v>
      </c>
      <c r="D9860" s="4" t="n">
        <v>1.5125</v>
      </c>
      <c r="E9860" s="5" t="n">
        <v>33.1</v>
      </c>
      <c r="F9860" s="3" t="inlineStr">
        <is>
          <t>연동면</t>
        </is>
      </c>
      <c r="G9860" s="3" t="inlineStr">
        <is>
          <t>내판리</t>
        </is>
      </c>
      <c r="H9860" s="3" t="inlineStr">
        <is>
          <t>계획관리지역</t>
        </is>
      </c>
      <c r="I9860" s="3" t="inlineStr">
        <is>
          <t>대</t>
        </is>
      </c>
      <c r="J9860" s="3" t="inlineStr">
        <is>
          <t>연동면</t>
        </is>
      </c>
    </row>
    <row r="9861">
      <c r="A9861" s="3" t="n">
        <v>2023</v>
      </c>
      <c r="B9861" s="4" t="n">
        <v>7500</v>
      </c>
      <c r="C9861" s="4" t="n">
        <v>167</v>
      </c>
      <c r="D9861" s="4" t="n">
        <v>50.5175</v>
      </c>
      <c r="E9861" s="5" t="n">
        <v>148.5</v>
      </c>
      <c r="F9861" s="3" t="inlineStr">
        <is>
          <t>연동면</t>
        </is>
      </c>
      <c r="G9861" s="3" t="inlineStr">
        <is>
          <t>내판리</t>
        </is>
      </c>
      <c r="H9861" s="3" t="inlineStr">
        <is>
          <t>계획관리지역</t>
        </is>
      </c>
      <c r="I9861" s="3" t="inlineStr">
        <is>
          <t>대</t>
        </is>
      </c>
      <c r="J9861" s="3" t="inlineStr">
        <is>
          <t>연동면</t>
        </is>
      </c>
    </row>
    <row r="9862">
      <c r="A9862" s="3" t="n">
        <v>2023</v>
      </c>
      <c r="B9862" s="4" t="n">
        <v>3300</v>
      </c>
      <c r="C9862" s="4" t="n">
        <v>74</v>
      </c>
      <c r="D9862" s="4" t="n">
        <v>22.385</v>
      </c>
      <c r="E9862" s="5" t="n">
        <v>147.4</v>
      </c>
      <c r="F9862" s="3" t="inlineStr">
        <is>
          <t>연동면</t>
        </is>
      </c>
      <c r="G9862" s="3" t="inlineStr">
        <is>
          <t>내판리</t>
        </is>
      </c>
      <c r="H9862" s="3" t="inlineStr">
        <is>
          <t>계획관리지역</t>
        </is>
      </c>
      <c r="I9862" s="3" t="inlineStr">
        <is>
          <t>대</t>
        </is>
      </c>
      <c r="J9862" s="3" t="inlineStr">
        <is>
          <t>연동면</t>
        </is>
      </c>
    </row>
    <row r="9863">
      <c r="A9863" s="3" t="n">
        <v>2023</v>
      </c>
      <c r="B9863" s="4" t="n">
        <v>3930</v>
      </c>
      <c r="C9863" s="4" t="n">
        <v>89</v>
      </c>
      <c r="D9863" s="4" t="n">
        <v>26.9225</v>
      </c>
      <c r="E9863" s="5" t="n">
        <v>146</v>
      </c>
      <c r="F9863" s="3" t="inlineStr">
        <is>
          <t>연동면</t>
        </is>
      </c>
      <c r="G9863" s="3" t="inlineStr">
        <is>
          <t>내판리</t>
        </is>
      </c>
      <c r="H9863" s="3" t="inlineStr">
        <is>
          <t>계획관리지역</t>
        </is>
      </c>
      <c r="I9863" s="3" t="inlineStr">
        <is>
          <t>대</t>
        </is>
      </c>
      <c r="J9863" s="3" t="inlineStr">
        <is>
          <t>연동면</t>
        </is>
      </c>
    </row>
    <row r="9864">
      <c r="A9864" s="3" t="n">
        <v>2023</v>
      </c>
      <c r="B9864" s="4" t="n">
        <v>270</v>
      </c>
      <c r="C9864" s="4" t="n">
        <v>6</v>
      </c>
      <c r="D9864" s="4" t="n">
        <v>1.815</v>
      </c>
      <c r="E9864" s="5" t="n">
        <v>148.8</v>
      </c>
      <c r="F9864" s="3" t="inlineStr">
        <is>
          <t>연동면</t>
        </is>
      </c>
      <c r="G9864" s="3" t="inlineStr">
        <is>
          <t>내판리</t>
        </is>
      </c>
      <c r="H9864" s="3" t="inlineStr">
        <is>
          <t>계획관리지역</t>
        </is>
      </c>
      <c r="I9864" s="3" t="inlineStr">
        <is>
          <t>대</t>
        </is>
      </c>
      <c r="J9864" s="3" t="inlineStr">
        <is>
          <t>연동면</t>
        </is>
      </c>
    </row>
    <row r="9865">
      <c r="A9865" s="3" t="n">
        <v>2023</v>
      </c>
      <c r="B9865" s="4" t="n">
        <v>550</v>
      </c>
      <c r="C9865" s="4" t="n">
        <v>12</v>
      </c>
      <c r="D9865" s="4" t="n">
        <v>3.63</v>
      </c>
      <c r="E9865" s="5" t="n">
        <v>151.5</v>
      </c>
      <c r="F9865" s="3" t="inlineStr">
        <is>
          <t>연동면</t>
        </is>
      </c>
      <c r="G9865" s="3" t="inlineStr">
        <is>
          <t>내판리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연동면</t>
        </is>
      </c>
    </row>
    <row r="9866">
      <c r="A9866" s="3" t="n">
        <v>2023</v>
      </c>
      <c r="B9866" s="4" t="n">
        <v>14700</v>
      </c>
      <c r="C9866" s="4" t="n">
        <v>1099</v>
      </c>
      <c r="D9866" s="4" t="n">
        <v>332.4475</v>
      </c>
      <c r="E9866" s="5" t="n">
        <v>44.2</v>
      </c>
      <c r="F9866" s="3" t="inlineStr">
        <is>
          <t>금남면</t>
        </is>
      </c>
      <c r="G9866" s="3" t="inlineStr">
        <is>
          <t>신촌리</t>
        </is>
      </c>
      <c r="H9866" s="3" t="inlineStr">
        <is>
          <t>개발제한구역</t>
        </is>
      </c>
      <c r="I9866" s="3" t="inlineStr">
        <is>
          <t>임야</t>
        </is>
      </c>
      <c r="J9866" s="3" t="inlineStr">
        <is>
          <t>금남면</t>
        </is>
      </c>
    </row>
    <row r="9867">
      <c r="A9867" s="3" t="n">
        <v>2023</v>
      </c>
      <c r="B9867" s="4" t="n">
        <v>12000</v>
      </c>
      <c r="C9867" s="4" t="n">
        <v>165</v>
      </c>
      <c r="D9867" s="4" t="n">
        <v>49.9125</v>
      </c>
      <c r="E9867" s="5" t="n">
        <v>240.4</v>
      </c>
      <c r="F9867" s="3" t="inlineStr">
        <is>
          <t>금남면</t>
        </is>
      </c>
      <c r="G9867" s="3" t="inlineStr">
        <is>
          <t>발산리</t>
        </is>
      </c>
      <c r="H9867" s="3" t="inlineStr">
        <is>
          <t>제1종일반주거지역</t>
        </is>
      </c>
      <c r="I9867" s="3" t="inlineStr">
        <is>
          <t>전</t>
        </is>
      </c>
      <c r="J9867" s="3" t="inlineStr">
        <is>
          <t>금남면</t>
        </is>
      </c>
    </row>
    <row r="9868">
      <c r="A9868" s="3" t="n">
        <v>2023</v>
      </c>
      <c r="B9868" s="4" t="n">
        <v>54100</v>
      </c>
      <c r="C9868" s="4" t="n">
        <v>1676</v>
      </c>
      <c r="D9868" s="4" t="n">
        <v>506.99</v>
      </c>
      <c r="E9868" s="5" t="n">
        <v>106.7</v>
      </c>
      <c r="F9868" s="3" t="inlineStr">
        <is>
          <t>전동면</t>
        </is>
      </c>
      <c r="G9868" s="3" t="inlineStr">
        <is>
          <t>노장리</t>
        </is>
      </c>
      <c r="H9868" s="3" t="inlineStr">
        <is>
          <t>계획관리지역</t>
        </is>
      </c>
      <c r="I9868" s="3" t="inlineStr">
        <is>
          <t>답</t>
        </is>
      </c>
      <c r="J9868" s="3" t="inlineStr">
        <is>
          <t>전동면</t>
        </is>
      </c>
    </row>
    <row r="9869">
      <c r="A9869" s="3" t="n">
        <v>2023</v>
      </c>
      <c r="B9869" s="4" t="n">
        <v>23400</v>
      </c>
      <c r="C9869" s="4" t="n">
        <v>724</v>
      </c>
      <c r="D9869" s="4" t="n">
        <v>219.01</v>
      </c>
      <c r="E9869" s="5" t="n">
        <v>106.8</v>
      </c>
      <c r="F9869" s="3" t="inlineStr">
        <is>
          <t>전동면</t>
        </is>
      </c>
      <c r="G9869" s="3" t="inlineStr">
        <is>
          <t>노장리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2023</v>
      </c>
      <c r="B9870" s="4" t="n">
        <v>22500</v>
      </c>
      <c r="C9870" s="4" t="n">
        <v>631</v>
      </c>
      <c r="D9870" s="4" t="n">
        <v>190.8775</v>
      </c>
      <c r="E9870" s="5" t="n">
        <v>117.9</v>
      </c>
      <c r="F9870" s="3" t="inlineStr">
        <is>
          <t>전동면</t>
        </is>
      </c>
      <c r="G9870" s="3" t="inlineStr">
        <is>
          <t>노장리</t>
        </is>
      </c>
      <c r="H9870" s="3" t="inlineStr">
        <is>
          <t>계획관리지역</t>
        </is>
      </c>
      <c r="I9870" s="3" t="inlineStr">
        <is>
          <t>답</t>
        </is>
      </c>
      <c r="J9870" s="3" t="inlineStr">
        <is>
          <t>전동면</t>
        </is>
      </c>
    </row>
    <row r="9871">
      <c r="A9871" s="3" t="n">
        <v>2023</v>
      </c>
      <c r="B9871" s="4" t="n">
        <v>19500</v>
      </c>
      <c r="C9871" s="4" t="n">
        <v>163</v>
      </c>
      <c r="D9871" s="4" t="n">
        <v>49.3075</v>
      </c>
      <c r="E9871" s="5" t="n">
        <v>395.5</v>
      </c>
      <c r="F9871" s="3" t="inlineStr">
        <is>
          <t>반곡동</t>
        </is>
      </c>
      <c r="G9871" s="3" t="inlineStr"/>
      <c r="H9871" s="3" t="inlineStr">
        <is>
          <t>제1종전용주거지역</t>
        </is>
      </c>
      <c r="I9871" s="3" t="inlineStr">
        <is>
          <t>대</t>
        </is>
      </c>
      <c r="J9871" s="3" t="inlineStr">
        <is>
          <t>반곡동</t>
        </is>
      </c>
    </row>
    <row r="9872">
      <c r="A9872" s="3" t="n">
        <v>2023</v>
      </c>
      <c r="B9872" s="4" t="n">
        <v>239564</v>
      </c>
      <c r="C9872" s="4" t="n">
        <v>19800</v>
      </c>
      <c r="D9872" s="4" t="n">
        <v>5989.5</v>
      </c>
      <c r="E9872" s="5" t="n">
        <v>40</v>
      </c>
      <c r="F9872" s="3" t="inlineStr">
        <is>
          <t>부강면</t>
        </is>
      </c>
      <c r="G9872" s="3" t="inlineStr">
        <is>
          <t>갈산리</t>
        </is>
      </c>
      <c r="H9872" s="3" t="inlineStr">
        <is>
          <t>계획관리지역</t>
        </is>
      </c>
      <c r="I9872" s="3" t="inlineStr">
        <is>
          <t>임야</t>
        </is>
      </c>
      <c r="J9872" s="3" t="inlineStr">
        <is>
          <t>부강면</t>
        </is>
      </c>
    </row>
    <row r="9873">
      <c r="A9873" s="3" t="n">
        <v>2023</v>
      </c>
      <c r="B9873" s="4" t="n">
        <v>168156</v>
      </c>
      <c r="C9873" s="4" t="n">
        <v>13898</v>
      </c>
      <c r="D9873" s="4" t="n">
        <v>4204.145</v>
      </c>
      <c r="E9873" s="5" t="n">
        <v>40</v>
      </c>
      <c r="F9873" s="3" t="inlineStr">
        <is>
          <t>부강면</t>
        </is>
      </c>
      <c r="G9873" s="3" t="inlineStr">
        <is>
          <t>갈산리</t>
        </is>
      </c>
      <c r="H9873" s="3" t="inlineStr">
        <is>
          <t>계획관리지역</t>
        </is>
      </c>
      <c r="I9873" s="3" t="inlineStr">
        <is>
          <t>임야</t>
        </is>
      </c>
      <c r="J9873" s="3" t="inlineStr">
        <is>
          <t>부강면</t>
        </is>
      </c>
    </row>
    <row r="9874">
      <c r="A9874" s="3" t="n">
        <v>2023</v>
      </c>
      <c r="B9874" s="4" t="n">
        <v>62000</v>
      </c>
      <c r="C9874" s="4" t="n">
        <v>821</v>
      </c>
      <c r="D9874" s="4" t="n">
        <v>248.3525</v>
      </c>
      <c r="E9874" s="5" t="n">
        <v>249.6</v>
      </c>
      <c r="F9874" s="3" t="inlineStr">
        <is>
          <t>연동면</t>
        </is>
      </c>
      <c r="G9874" s="3" t="inlineStr">
        <is>
          <t>명학리</t>
        </is>
      </c>
      <c r="H9874" s="3" t="inlineStr">
        <is>
          <t>보전관리지역</t>
        </is>
      </c>
      <c r="I9874" s="3" t="inlineStr">
        <is>
          <t>임야</t>
        </is>
      </c>
      <c r="J9874" s="3" t="inlineStr">
        <is>
          <t>연동면</t>
        </is>
      </c>
    </row>
    <row r="9875">
      <c r="A9875" s="3" t="n">
        <v>2023</v>
      </c>
      <c r="B9875" s="4" t="n">
        <v>111000</v>
      </c>
      <c r="C9875" s="4" t="n">
        <v>1119</v>
      </c>
      <c r="D9875" s="4" t="n">
        <v>338.4975</v>
      </c>
      <c r="E9875" s="5" t="n">
        <v>327.9</v>
      </c>
      <c r="F9875" s="3" t="inlineStr">
        <is>
          <t>전동면</t>
        </is>
      </c>
      <c r="G9875" s="3" t="inlineStr">
        <is>
          <t>노장리</t>
        </is>
      </c>
      <c r="H9875" s="3" t="inlineStr">
        <is>
          <t>계획관리지역</t>
        </is>
      </c>
      <c r="I9875" s="3" t="inlineStr">
        <is>
          <t>답</t>
        </is>
      </c>
      <c r="J9875" s="3" t="inlineStr">
        <is>
          <t>전동면</t>
        </is>
      </c>
    </row>
    <row r="9876">
      <c r="A9876" s="3" t="n">
        <v>2023</v>
      </c>
      <c r="B9876" s="4" t="n">
        <v>11000</v>
      </c>
      <c r="C9876" s="4" t="n">
        <v>117</v>
      </c>
      <c r="D9876" s="4" t="n">
        <v>35.3925</v>
      </c>
      <c r="E9876" s="5" t="n">
        <v>310.8</v>
      </c>
      <c r="F9876" s="3" t="inlineStr">
        <is>
          <t>전동면</t>
        </is>
      </c>
      <c r="G9876" s="3" t="inlineStr">
        <is>
          <t>노장리</t>
        </is>
      </c>
      <c r="H9876" s="3" t="inlineStr">
        <is>
          <t>계획관리지역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2023</v>
      </c>
      <c r="B9877" s="4" t="n">
        <v>3800</v>
      </c>
      <c r="C9877" s="4" t="n">
        <v>213</v>
      </c>
      <c r="D9877" s="4" t="n">
        <v>64.4325</v>
      </c>
      <c r="E9877" s="5" t="n">
        <v>59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보전관리지역</t>
        </is>
      </c>
      <c r="I9877" s="3" t="inlineStr">
        <is>
          <t>임야</t>
        </is>
      </c>
      <c r="J9877" s="3" t="inlineStr">
        <is>
          <t>연기면</t>
        </is>
      </c>
    </row>
    <row r="9878">
      <c r="A9878" s="3" t="n">
        <v>2023</v>
      </c>
      <c r="B9878" s="4" t="n">
        <v>68000</v>
      </c>
      <c r="C9878" s="4" t="n">
        <v>1322</v>
      </c>
      <c r="D9878" s="4" t="n">
        <v>399.905</v>
      </c>
      <c r="E9878" s="5" t="n">
        <v>170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농림지역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2023</v>
      </c>
      <c r="B9879" s="4" t="n">
        <v>6000</v>
      </c>
      <c r="C9879" s="4" t="n">
        <v>1084</v>
      </c>
      <c r="D9879" s="4" t="n">
        <v>327.91</v>
      </c>
      <c r="E9879" s="5" t="n">
        <v>18.3</v>
      </c>
      <c r="F9879" s="3" t="inlineStr">
        <is>
          <t>전의면</t>
        </is>
      </c>
      <c r="G9879" s="3" t="inlineStr">
        <is>
          <t>신정리</t>
        </is>
      </c>
      <c r="H9879" s="3" t="inlineStr">
        <is>
          <t>농림지역</t>
        </is>
      </c>
      <c r="I9879" s="3" t="inlineStr">
        <is>
          <t>전</t>
        </is>
      </c>
      <c r="J9879" s="3" t="inlineStr">
        <is>
          <t>전의면</t>
        </is>
      </c>
    </row>
    <row r="9880">
      <c r="A9880" s="3" t="n">
        <v>2023</v>
      </c>
      <c r="B9880" s="4" t="n">
        <v>67600</v>
      </c>
      <c r="C9880" s="4" t="n">
        <v>3306</v>
      </c>
      <c r="D9880" s="4" t="n">
        <v>1000.065</v>
      </c>
      <c r="E9880" s="5" t="n">
        <v>67.59999999999999</v>
      </c>
      <c r="F9880" s="3" t="inlineStr">
        <is>
          <t>연동면</t>
        </is>
      </c>
      <c r="G9880" s="3" t="inlineStr">
        <is>
          <t>문주리</t>
        </is>
      </c>
      <c r="H9880" s="3" t="inlineStr">
        <is>
          <t>농림지역</t>
        </is>
      </c>
      <c r="I9880" s="3" t="inlineStr">
        <is>
          <t>답</t>
        </is>
      </c>
      <c r="J9880" s="3" t="inlineStr">
        <is>
          <t>연동면</t>
        </is>
      </c>
    </row>
    <row r="9881">
      <c r="A9881" s="3" t="n">
        <v>2023</v>
      </c>
      <c r="B9881" s="4" t="n">
        <v>25000</v>
      </c>
      <c r="C9881" s="4" t="n">
        <v>248</v>
      </c>
      <c r="D9881" s="4" t="n">
        <v>75.02</v>
      </c>
      <c r="E9881" s="5" t="n">
        <v>333.2</v>
      </c>
      <c r="F9881" s="3" t="inlineStr">
        <is>
          <t>조치원읍</t>
        </is>
      </c>
      <c r="G9881" s="3" t="inlineStr">
        <is>
          <t>서창리</t>
        </is>
      </c>
      <c r="H9881" s="3" t="inlineStr">
        <is>
          <t>준주거지역</t>
        </is>
      </c>
      <c r="I9881" s="3" t="inlineStr">
        <is>
          <t>대</t>
        </is>
      </c>
      <c r="J9881" s="3" t="inlineStr">
        <is>
          <t>조치원읍</t>
        </is>
      </c>
    </row>
    <row r="9882">
      <c r="A9882" s="3" t="n">
        <v>2023</v>
      </c>
      <c r="B9882" s="4" t="n">
        <v>26960</v>
      </c>
      <c r="C9882" s="4" t="n">
        <v>1115</v>
      </c>
      <c r="D9882" s="4" t="n">
        <v>337.2875</v>
      </c>
      <c r="E9882" s="5" t="n">
        <v>79.90000000000001</v>
      </c>
      <c r="F9882" s="3" t="inlineStr">
        <is>
          <t>전의면</t>
        </is>
      </c>
      <c r="G9882" s="3" t="inlineStr">
        <is>
          <t>노곡리</t>
        </is>
      </c>
      <c r="H9882" s="3" t="inlineStr">
        <is>
          <t>계획관리지역</t>
        </is>
      </c>
      <c r="I9882" s="3" t="inlineStr">
        <is>
          <t>답</t>
        </is>
      </c>
      <c r="J9882" s="3" t="inlineStr">
        <is>
          <t>전의면</t>
        </is>
      </c>
    </row>
    <row r="9883">
      <c r="A9883" s="3" t="n">
        <v>2025</v>
      </c>
      <c r="B9883" s="4" t="n">
        <v>30000</v>
      </c>
      <c r="C9883" s="4" t="n">
        <v>2015.9</v>
      </c>
      <c r="D9883" s="4" t="n">
        <v>609.80975</v>
      </c>
      <c r="E9883" s="5" t="n">
        <v>49.2</v>
      </c>
      <c r="F9883" s="3" t="inlineStr">
        <is>
          <t>장군면</t>
        </is>
      </c>
      <c r="G9883" s="3" t="inlineStr">
        <is>
          <t>태산리</t>
        </is>
      </c>
      <c r="H9883" s="3" t="inlineStr">
        <is>
          <t>농림지역</t>
        </is>
      </c>
      <c r="I9883" s="3" t="inlineStr">
        <is>
          <t>답</t>
        </is>
      </c>
      <c r="J9883" s="3" t="inlineStr">
        <is>
          <t>장군면</t>
        </is>
      </c>
    </row>
    <row r="9884">
      <c r="A9884" s="3" t="n">
        <v>2025</v>
      </c>
      <c r="B9884" s="4" t="n">
        <v>19500</v>
      </c>
      <c r="C9884" s="4" t="n">
        <v>2466</v>
      </c>
      <c r="D9884" s="4" t="n">
        <v>745.965</v>
      </c>
      <c r="E9884" s="5" t="n">
        <v>26.1</v>
      </c>
      <c r="F9884" s="3" t="inlineStr">
        <is>
          <t>금남면</t>
        </is>
      </c>
      <c r="G9884" s="3" t="inlineStr">
        <is>
          <t>두만리</t>
        </is>
      </c>
      <c r="H9884" s="3" t="inlineStr">
        <is>
          <t>농림지역</t>
        </is>
      </c>
      <c r="I9884" s="3" t="inlineStr">
        <is>
          <t>답</t>
        </is>
      </c>
      <c r="J9884" s="3" t="inlineStr">
        <is>
          <t>금남면</t>
        </is>
      </c>
    </row>
    <row r="9885">
      <c r="A9885" s="3" t="n">
        <v>2022</v>
      </c>
      <c r="B9885" s="4" t="n">
        <v>1800</v>
      </c>
      <c r="C9885" s="4" t="n">
        <v>953</v>
      </c>
      <c r="D9885" s="4" t="n">
        <v>288.2825</v>
      </c>
      <c r="E9885" s="5" t="n">
        <v>6.2</v>
      </c>
      <c r="F9885" s="3" t="inlineStr">
        <is>
          <t>유구읍</t>
        </is>
      </c>
      <c r="G9885" s="3" t="inlineStr">
        <is>
          <t>세동리</t>
        </is>
      </c>
      <c r="H9885" s="3" t="inlineStr">
        <is>
          <t>계획관리지역</t>
        </is>
      </c>
      <c r="I9885" s="3" t="inlineStr">
        <is>
          <t>임야</t>
        </is>
      </c>
      <c r="J9885" s="3" t="inlineStr">
        <is>
          <t>유구읍</t>
        </is>
      </c>
    </row>
    <row r="9886">
      <c r="A9886" s="3" t="n">
        <v>2023</v>
      </c>
      <c r="B9886" s="4" t="n">
        <v>220</v>
      </c>
      <c r="C9886" s="4" t="n">
        <v>16</v>
      </c>
      <c r="D9886" s="4" t="n">
        <v>4.84</v>
      </c>
      <c r="E9886" s="5" t="n">
        <v>45.5</v>
      </c>
      <c r="F9886" s="3" t="inlineStr">
        <is>
          <t>유구읍</t>
        </is>
      </c>
      <c r="G9886" s="3" t="inlineStr">
        <is>
          <t>녹천리</t>
        </is>
      </c>
      <c r="H9886" s="3" t="inlineStr">
        <is>
          <t>제2종일반주거지역</t>
        </is>
      </c>
      <c r="I9886" s="3" t="inlineStr">
        <is>
          <t>답</t>
        </is>
      </c>
      <c r="J9886" s="3" t="inlineStr">
        <is>
          <t>유구읍</t>
        </is>
      </c>
    </row>
    <row r="9887">
      <c r="A9887" s="3" t="n">
        <v>2023</v>
      </c>
      <c r="B9887" s="4" t="n">
        <v>150</v>
      </c>
      <c r="C9887" s="4" t="n">
        <v>10</v>
      </c>
      <c r="D9887" s="4" t="n">
        <v>3.025</v>
      </c>
      <c r="E9887" s="5" t="n">
        <v>49.6</v>
      </c>
      <c r="F9887" s="3" t="inlineStr">
        <is>
          <t>유구읍</t>
        </is>
      </c>
      <c r="G9887" s="3" t="inlineStr">
        <is>
          <t>녹천리</t>
        </is>
      </c>
      <c r="H9887" s="3" t="inlineStr">
        <is>
          <t>제2종일반주거지역</t>
        </is>
      </c>
      <c r="I9887" s="3" t="inlineStr">
        <is>
          <t>답</t>
        </is>
      </c>
      <c r="J9887" s="3" t="inlineStr">
        <is>
          <t>유구읍</t>
        </is>
      </c>
    </row>
    <row r="9888">
      <c r="A9888" s="3" t="n">
        <v>2025</v>
      </c>
      <c r="B9888" s="4" t="n">
        <v>91709</v>
      </c>
      <c r="C9888" s="4" t="n">
        <v>1418.8</v>
      </c>
      <c r="D9888" s="4" t="n">
        <v>429.187</v>
      </c>
      <c r="E9888" s="5" t="n">
        <v>213.7</v>
      </c>
      <c r="F9888" s="3" t="inlineStr">
        <is>
          <t>집현동</t>
        </is>
      </c>
      <c r="G9888" s="3" t="inlineStr"/>
      <c r="H9888" s="3" t="inlineStr">
        <is>
          <t>준주거지역</t>
        </is>
      </c>
      <c r="I9888" s="3" t="inlineStr">
        <is>
          <t>대</t>
        </is>
      </c>
      <c r="J9888" s="3" t="inlineStr">
        <is>
          <t>집현동</t>
        </is>
      </c>
    </row>
    <row r="9889">
      <c r="A9889" s="3" t="n">
        <v>2023</v>
      </c>
      <c r="B9889" s="4" t="n">
        <v>13909</v>
      </c>
      <c r="C9889" s="4" t="n">
        <v>201</v>
      </c>
      <c r="D9889" s="4" t="n">
        <v>60.80249999999999</v>
      </c>
      <c r="E9889" s="5" t="n">
        <v>228.8</v>
      </c>
      <c r="F9889" s="3" t="inlineStr">
        <is>
          <t>장군면</t>
        </is>
      </c>
      <c r="G9889" s="3" t="inlineStr">
        <is>
          <t>금암리</t>
        </is>
      </c>
      <c r="H9889" s="3" t="inlineStr">
        <is>
          <t>보전관리지역</t>
        </is>
      </c>
      <c r="I9889" s="3" t="inlineStr">
        <is>
          <t>임야</t>
        </is>
      </c>
      <c r="J9889" s="3" t="inlineStr">
        <is>
          <t>장군면</t>
        </is>
      </c>
    </row>
    <row r="9890">
      <c r="A9890" s="3" t="n">
        <v>2023</v>
      </c>
      <c r="B9890" s="4" t="n">
        <v>10103</v>
      </c>
      <c r="C9890" s="4" t="n">
        <v>146</v>
      </c>
      <c r="D9890" s="4" t="n">
        <v>44.165</v>
      </c>
      <c r="E9890" s="5" t="n">
        <v>228.8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농림지역</t>
        </is>
      </c>
      <c r="I9890" s="3" t="inlineStr">
        <is>
          <t>임야</t>
        </is>
      </c>
      <c r="J9890" s="3" t="inlineStr">
        <is>
          <t>장군면</t>
        </is>
      </c>
    </row>
    <row r="9891">
      <c r="A9891" s="3" t="n">
        <v>2023</v>
      </c>
      <c r="B9891" s="4" t="n">
        <v>1730</v>
      </c>
      <c r="C9891" s="4" t="n">
        <v>25</v>
      </c>
      <c r="D9891" s="4" t="n">
        <v>7.5625</v>
      </c>
      <c r="E9891" s="5" t="n">
        <v>228.8</v>
      </c>
      <c r="F9891" s="3" t="inlineStr">
        <is>
          <t>장군면</t>
        </is>
      </c>
      <c r="G9891" s="3" t="inlineStr">
        <is>
          <t>금암리</t>
        </is>
      </c>
      <c r="H9891" s="3" t="inlineStr">
        <is>
          <t>농림지역</t>
        </is>
      </c>
      <c r="I9891" s="3" t="inlineStr">
        <is>
          <t>임야</t>
        </is>
      </c>
      <c r="J9891" s="3" t="inlineStr">
        <is>
          <t>장군면</t>
        </is>
      </c>
    </row>
    <row r="9892">
      <c r="A9892" s="3" t="n">
        <v>2023</v>
      </c>
      <c r="B9892" s="4" t="n">
        <v>25190</v>
      </c>
      <c r="C9892" s="4" t="n">
        <v>364</v>
      </c>
      <c r="D9892" s="4" t="n">
        <v>110.11</v>
      </c>
      <c r="E9892" s="5" t="n">
        <v>228.8</v>
      </c>
      <c r="F9892" s="3" t="inlineStr">
        <is>
          <t>장군면</t>
        </is>
      </c>
      <c r="G9892" s="3" t="inlineStr">
        <is>
          <t>금암리</t>
        </is>
      </c>
      <c r="H9892" s="3" t="inlineStr">
        <is>
          <t>보전관리지역</t>
        </is>
      </c>
      <c r="I9892" s="3" t="inlineStr">
        <is>
          <t>임야</t>
        </is>
      </c>
      <c r="J9892" s="3" t="inlineStr">
        <is>
          <t>장군면</t>
        </is>
      </c>
    </row>
    <row r="9893">
      <c r="A9893" s="3" t="n">
        <v>2023</v>
      </c>
      <c r="B9893" s="4" t="n">
        <v>1868</v>
      </c>
      <c r="C9893" s="4" t="n">
        <v>27</v>
      </c>
      <c r="D9893" s="4" t="n">
        <v>8.1675</v>
      </c>
      <c r="E9893" s="5" t="n">
        <v>228.7</v>
      </c>
      <c r="F9893" s="3" t="inlineStr">
        <is>
          <t>장군면</t>
        </is>
      </c>
      <c r="G9893" s="3" t="inlineStr">
        <is>
          <t>금암리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장군면</t>
        </is>
      </c>
    </row>
    <row r="9894">
      <c r="A9894" s="3" t="n">
        <v>2023</v>
      </c>
      <c r="B9894" s="4" t="n">
        <v>3300</v>
      </c>
      <c r="C9894" s="4" t="n">
        <v>33</v>
      </c>
      <c r="D9894" s="4" t="n">
        <v>9.9825</v>
      </c>
      <c r="E9894" s="5" t="n">
        <v>330.6</v>
      </c>
      <c r="F9894" s="3" t="inlineStr">
        <is>
          <t>금남면</t>
        </is>
      </c>
      <c r="G9894" s="3" t="inlineStr">
        <is>
          <t>용포리</t>
        </is>
      </c>
      <c r="H9894" s="3" t="inlineStr">
        <is>
          <t>자연녹지지역</t>
        </is>
      </c>
      <c r="I9894" s="3" t="inlineStr">
        <is>
          <t>전</t>
        </is>
      </c>
      <c r="J9894" s="3" t="inlineStr">
        <is>
          <t>금남면</t>
        </is>
      </c>
    </row>
    <row r="9895">
      <c r="A9895" s="3" t="n">
        <v>2023</v>
      </c>
      <c r="B9895" s="4" t="n">
        <v>49500</v>
      </c>
      <c r="C9895" s="4" t="n">
        <v>496</v>
      </c>
      <c r="D9895" s="4" t="n">
        <v>150.04</v>
      </c>
      <c r="E9895" s="5" t="n">
        <v>329.9</v>
      </c>
      <c r="F9895" s="3" t="inlineStr">
        <is>
          <t>금남면</t>
        </is>
      </c>
      <c r="G9895" s="3" t="inlineStr">
        <is>
          <t>용포리</t>
        </is>
      </c>
      <c r="H9895" s="3" t="inlineStr">
        <is>
          <t>자연녹지지역</t>
        </is>
      </c>
      <c r="I9895" s="3" t="inlineStr">
        <is>
          <t>전</t>
        </is>
      </c>
      <c r="J9895" s="3" t="inlineStr">
        <is>
          <t>금남면</t>
        </is>
      </c>
    </row>
    <row r="9896">
      <c r="A9896" s="3" t="n">
        <v>2023</v>
      </c>
      <c r="B9896" s="4" t="n">
        <v>686</v>
      </c>
      <c r="C9896" s="4" t="n">
        <v>70</v>
      </c>
      <c r="D9896" s="4" t="n">
        <v>21.175</v>
      </c>
      <c r="E9896" s="5" t="n">
        <v>32.4</v>
      </c>
      <c r="F9896" s="3" t="inlineStr">
        <is>
          <t>연서면</t>
        </is>
      </c>
      <c r="G9896" s="3" t="inlineStr">
        <is>
          <t>월하리</t>
        </is>
      </c>
      <c r="H9896" s="3" t="inlineStr">
        <is>
          <t>제1종일반주거지역</t>
        </is>
      </c>
      <c r="I9896" s="3" t="inlineStr">
        <is>
          <t>도로</t>
        </is>
      </c>
      <c r="J9896" s="3" t="inlineStr">
        <is>
          <t>연서면</t>
        </is>
      </c>
    </row>
    <row r="9897">
      <c r="A9897" s="3" t="n">
        <v>2023</v>
      </c>
      <c r="B9897" s="4" t="n">
        <v>69</v>
      </c>
      <c r="C9897" s="4" t="n">
        <v>7</v>
      </c>
      <c r="D9897" s="4" t="n">
        <v>2.1175</v>
      </c>
      <c r="E9897" s="5" t="n">
        <v>32.6</v>
      </c>
      <c r="F9897" s="3" t="inlineStr">
        <is>
          <t>연서면</t>
        </is>
      </c>
      <c r="G9897" s="3" t="inlineStr">
        <is>
          <t>월하리</t>
        </is>
      </c>
      <c r="H9897" s="3" t="inlineStr">
        <is>
          <t>제1종일반주거지역</t>
        </is>
      </c>
      <c r="I9897" s="3" t="inlineStr">
        <is>
          <t>도로</t>
        </is>
      </c>
      <c r="J9897" s="3" t="inlineStr">
        <is>
          <t>연서면</t>
        </is>
      </c>
    </row>
    <row r="9898">
      <c r="A9898" s="3" t="n">
        <v>2023</v>
      </c>
      <c r="B9898" s="4" t="n">
        <v>402</v>
      </c>
      <c r="C9898" s="4" t="n">
        <v>41</v>
      </c>
      <c r="D9898" s="4" t="n">
        <v>12.4025</v>
      </c>
      <c r="E9898" s="5" t="n">
        <v>32.4</v>
      </c>
      <c r="F9898" s="3" t="inlineStr">
        <is>
          <t>연서면</t>
        </is>
      </c>
      <c r="G9898" s="3" t="inlineStr">
        <is>
          <t>월하리</t>
        </is>
      </c>
      <c r="H9898" s="3" t="inlineStr">
        <is>
          <t>제1종일반주거지역</t>
        </is>
      </c>
      <c r="I9898" s="3" t="inlineStr">
        <is>
          <t>도로</t>
        </is>
      </c>
      <c r="J9898" s="3" t="inlineStr">
        <is>
          <t>연서면</t>
        </is>
      </c>
    </row>
    <row r="9899">
      <c r="A9899" s="3" t="n">
        <v>2023</v>
      </c>
      <c r="B9899" s="4" t="n">
        <v>206</v>
      </c>
      <c r="C9899" s="4" t="n">
        <v>21</v>
      </c>
      <c r="D9899" s="4" t="n">
        <v>6.3525</v>
      </c>
      <c r="E9899" s="5" t="n">
        <v>32.4</v>
      </c>
      <c r="F9899" s="3" t="inlineStr">
        <is>
          <t>연서면</t>
        </is>
      </c>
      <c r="G9899" s="3" t="inlineStr">
        <is>
          <t>월하리</t>
        </is>
      </c>
      <c r="H9899" s="3" t="inlineStr">
        <is>
          <t>제1종일반주거지역</t>
        </is>
      </c>
      <c r="I9899" s="3" t="inlineStr">
        <is>
          <t>도로</t>
        </is>
      </c>
      <c r="J9899" s="3" t="inlineStr">
        <is>
          <t>연서면</t>
        </is>
      </c>
    </row>
    <row r="9900">
      <c r="A9900" s="3" t="n">
        <v>2023</v>
      </c>
      <c r="B9900" s="4" t="n">
        <v>12200</v>
      </c>
      <c r="C9900" s="4" t="n">
        <v>202</v>
      </c>
      <c r="D9900" s="4" t="n">
        <v>61.105</v>
      </c>
      <c r="E9900" s="5" t="n">
        <v>199.7</v>
      </c>
      <c r="F9900" s="3" t="inlineStr">
        <is>
          <t>전의면</t>
        </is>
      </c>
      <c r="G9900" s="3" t="inlineStr">
        <is>
          <t>신흥리</t>
        </is>
      </c>
      <c r="H9900" s="3" t="inlineStr">
        <is>
          <t>계획관리지역</t>
        </is>
      </c>
      <c r="I9900" s="3" t="inlineStr">
        <is>
          <t>전</t>
        </is>
      </c>
      <c r="J9900" s="3" t="inlineStr">
        <is>
          <t>전의면</t>
        </is>
      </c>
    </row>
    <row r="9901">
      <c r="A9901" s="3" t="n">
        <v>2023</v>
      </c>
      <c r="B9901" s="4" t="n">
        <v>27000</v>
      </c>
      <c r="C9901" s="4" t="n">
        <v>934</v>
      </c>
      <c r="D9901" s="4" t="n">
        <v>282.535</v>
      </c>
      <c r="E9901" s="5" t="n">
        <v>95.59999999999999</v>
      </c>
      <c r="F9901" s="3" t="inlineStr">
        <is>
          <t>연서면</t>
        </is>
      </c>
      <c r="G9901" s="3" t="inlineStr">
        <is>
          <t>쌍류리</t>
        </is>
      </c>
      <c r="H9901" s="3" t="inlineStr">
        <is>
          <t>생산관리지역</t>
        </is>
      </c>
      <c r="I9901" s="3" t="inlineStr">
        <is>
          <t>답</t>
        </is>
      </c>
      <c r="J9901" s="3" t="inlineStr">
        <is>
          <t>연서면</t>
        </is>
      </c>
    </row>
    <row r="9902">
      <c r="A9902" s="3" t="n">
        <v>2023</v>
      </c>
      <c r="B9902" s="4" t="n">
        <v>3000</v>
      </c>
      <c r="C9902" s="4" t="n">
        <v>275</v>
      </c>
      <c r="D9902" s="4" t="n">
        <v>83.1875</v>
      </c>
      <c r="E9902" s="5" t="n">
        <v>36.1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생산녹지지역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2023</v>
      </c>
      <c r="B9903" s="4" t="n">
        <v>13147</v>
      </c>
      <c r="C9903" s="4" t="n">
        <v>198</v>
      </c>
      <c r="D9903" s="4" t="n">
        <v>59.895</v>
      </c>
      <c r="E9903" s="5" t="n">
        <v>219.5</v>
      </c>
      <c r="F9903" s="3" t="inlineStr">
        <is>
          <t>장군면</t>
        </is>
      </c>
      <c r="G9903" s="3" t="inlineStr">
        <is>
          <t>봉안리</t>
        </is>
      </c>
      <c r="H9903" s="3" t="inlineStr">
        <is>
          <t>농림지역</t>
        </is>
      </c>
      <c r="I9903" s="3" t="inlineStr">
        <is>
          <t>목장용지</t>
        </is>
      </c>
      <c r="J9903" s="3" t="inlineStr">
        <is>
          <t>장군면</t>
        </is>
      </c>
    </row>
    <row r="9904">
      <c r="A9904" s="3" t="n">
        <v>2023</v>
      </c>
      <c r="B9904" s="4" t="n">
        <v>57400</v>
      </c>
      <c r="C9904" s="4" t="n">
        <v>1947</v>
      </c>
      <c r="D9904" s="4" t="n">
        <v>588.9675</v>
      </c>
      <c r="E9904" s="5" t="n">
        <v>97.5</v>
      </c>
      <c r="F9904" s="3" t="inlineStr">
        <is>
          <t>장군면</t>
        </is>
      </c>
      <c r="G9904" s="3" t="inlineStr">
        <is>
          <t>도계리</t>
        </is>
      </c>
      <c r="H9904" s="3" t="inlineStr">
        <is>
          <t>농림지역</t>
        </is>
      </c>
      <c r="I9904" s="3" t="inlineStr">
        <is>
          <t>전</t>
        </is>
      </c>
      <c r="J9904" s="3" t="inlineStr">
        <is>
          <t>장군면</t>
        </is>
      </c>
    </row>
    <row r="9905">
      <c r="A9905" s="3" t="n">
        <v>2023</v>
      </c>
      <c r="B9905" s="4" t="n">
        <v>10000</v>
      </c>
      <c r="C9905" s="4" t="n">
        <v>998</v>
      </c>
      <c r="D9905" s="4" t="n">
        <v>301.895</v>
      </c>
      <c r="E9905" s="5" t="n">
        <v>33.1</v>
      </c>
      <c r="F9905" s="3" t="inlineStr">
        <is>
          <t>소정면</t>
        </is>
      </c>
      <c r="G9905" s="3" t="inlineStr">
        <is>
          <t>대곡리</t>
        </is>
      </c>
      <c r="H9905" s="3" t="inlineStr">
        <is>
          <t>계획관리지역</t>
        </is>
      </c>
      <c r="I9905" s="3" t="inlineStr">
        <is>
          <t>대</t>
        </is>
      </c>
      <c r="J9905" s="3" t="inlineStr">
        <is>
          <t>소정면</t>
        </is>
      </c>
    </row>
    <row r="9906">
      <c r="A9906" s="3" t="n">
        <v>2023</v>
      </c>
      <c r="B9906" s="4" t="n">
        <v>5000</v>
      </c>
      <c r="C9906" s="4" t="n">
        <v>614</v>
      </c>
      <c r="D9906" s="4" t="n">
        <v>185.735</v>
      </c>
      <c r="E9906" s="5" t="n">
        <v>26.9</v>
      </c>
      <c r="F9906" s="3" t="inlineStr">
        <is>
          <t>전의면</t>
        </is>
      </c>
      <c r="G9906" s="3" t="inlineStr">
        <is>
          <t>읍내리</t>
        </is>
      </c>
      <c r="H9906" s="3" t="inlineStr">
        <is>
          <t>생산녹지지역</t>
        </is>
      </c>
      <c r="I9906" s="3" t="inlineStr">
        <is>
          <t>답</t>
        </is>
      </c>
      <c r="J9906" s="3" t="inlineStr">
        <is>
          <t>전의면</t>
        </is>
      </c>
    </row>
    <row r="9907">
      <c r="A9907" s="3" t="n">
        <v>2023</v>
      </c>
      <c r="B9907" s="4" t="n">
        <v>3000</v>
      </c>
      <c r="C9907" s="4" t="n">
        <v>346</v>
      </c>
      <c r="D9907" s="4" t="n">
        <v>104.665</v>
      </c>
      <c r="E9907" s="5" t="n">
        <v>28.7</v>
      </c>
      <c r="F9907" s="3" t="inlineStr">
        <is>
          <t>연서면</t>
        </is>
      </c>
      <c r="G9907" s="3" t="inlineStr">
        <is>
          <t>쌍류리</t>
        </is>
      </c>
      <c r="H9907" s="3" t="inlineStr">
        <is>
          <t>보전관리지역</t>
        </is>
      </c>
      <c r="I9907" s="3" t="inlineStr">
        <is>
          <t>전</t>
        </is>
      </c>
      <c r="J9907" s="3" t="inlineStr">
        <is>
          <t>연서면</t>
        </is>
      </c>
    </row>
    <row r="9908">
      <c r="A9908" s="3" t="n">
        <v>2023</v>
      </c>
      <c r="B9908" s="4" t="n">
        <v>14859</v>
      </c>
      <c r="C9908" s="4" t="n">
        <v>307</v>
      </c>
      <c r="D9908" s="4" t="n">
        <v>92.86749999999999</v>
      </c>
      <c r="E9908" s="5" t="n">
        <v>160</v>
      </c>
      <c r="F9908" s="3" t="inlineStr">
        <is>
          <t>장군면</t>
        </is>
      </c>
      <c r="G9908" s="3" t="inlineStr">
        <is>
          <t>용암리</t>
        </is>
      </c>
      <c r="H9908" s="3" t="inlineStr">
        <is>
          <t>보전관리지역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2023</v>
      </c>
      <c r="B9909" s="4" t="n">
        <v>12632</v>
      </c>
      <c r="C9909" s="4" t="n">
        <v>261</v>
      </c>
      <c r="D9909" s="4" t="n">
        <v>78.9525</v>
      </c>
      <c r="E9909" s="5" t="n">
        <v>160</v>
      </c>
      <c r="F9909" s="3" t="inlineStr">
        <is>
          <t>장군면</t>
        </is>
      </c>
      <c r="G9909" s="3" t="inlineStr">
        <is>
          <t>용암리</t>
        </is>
      </c>
      <c r="H9909" s="3" t="inlineStr">
        <is>
          <t>보전관리지역</t>
        </is>
      </c>
      <c r="I9909" s="3" t="inlineStr">
        <is>
          <t>대</t>
        </is>
      </c>
      <c r="J9909" s="3" t="inlineStr">
        <is>
          <t>장군면</t>
        </is>
      </c>
    </row>
    <row r="9910">
      <c r="A9910" s="3" t="n">
        <v>2023</v>
      </c>
      <c r="B9910" s="4" t="n">
        <v>14520</v>
      </c>
      <c r="C9910" s="4" t="n">
        <v>300</v>
      </c>
      <c r="D9910" s="4" t="n">
        <v>90.75</v>
      </c>
      <c r="E9910" s="5" t="n">
        <v>160</v>
      </c>
      <c r="F9910" s="3" t="inlineStr">
        <is>
          <t>장군면</t>
        </is>
      </c>
      <c r="G9910" s="3" t="inlineStr">
        <is>
          <t>용암리</t>
        </is>
      </c>
      <c r="H9910" s="3" t="inlineStr">
        <is>
          <t>보전관리지역</t>
        </is>
      </c>
      <c r="I9910" s="3" t="inlineStr">
        <is>
          <t>대</t>
        </is>
      </c>
      <c r="J9910" s="3" t="inlineStr">
        <is>
          <t>장군면</t>
        </is>
      </c>
    </row>
    <row r="9911">
      <c r="A9911" s="3" t="n">
        <v>2023</v>
      </c>
      <c r="B9911" s="4" t="n">
        <v>15488</v>
      </c>
      <c r="C9911" s="4" t="n">
        <v>320</v>
      </c>
      <c r="D9911" s="4" t="n">
        <v>96.8</v>
      </c>
      <c r="E9911" s="5" t="n">
        <v>160</v>
      </c>
      <c r="F9911" s="3" t="inlineStr">
        <is>
          <t>장군면</t>
        </is>
      </c>
      <c r="G9911" s="3" t="inlineStr">
        <is>
          <t>용암리</t>
        </is>
      </c>
      <c r="H9911" s="3" t="inlineStr">
        <is>
          <t>보전관리지역</t>
        </is>
      </c>
      <c r="I9911" s="3" t="inlineStr">
        <is>
          <t>대</t>
        </is>
      </c>
      <c r="J9911" s="3" t="inlineStr">
        <is>
          <t>장군면</t>
        </is>
      </c>
    </row>
    <row r="9912">
      <c r="A9912" s="3" t="n">
        <v>2023</v>
      </c>
      <c r="B9912" s="4" t="n">
        <v>110000</v>
      </c>
      <c r="C9912" s="4" t="n">
        <v>7498</v>
      </c>
      <c r="D9912" s="4" t="n">
        <v>2268.145</v>
      </c>
      <c r="E9912" s="5" t="n">
        <v>48.5</v>
      </c>
      <c r="F9912" s="3" t="inlineStr">
        <is>
          <t>전동면</t>
        </is>
      </c>
      <c r="G9912" s="3" t="inlineStr">
        <is>
          <t>송정리</t>
        </is>
      </c>
      <c r="H9912" s="3" t="inlineStr">
        <is>
          <t>농림지역</t>
        </is>
      </c>
      <c r="I9912" s="3" t="inlineStr">
        <is>
          <t>전</t>
        </is>
      </c>
      <c r="J9912" s="3" t="inlineStr">
        <is>
          <t>전동면</t>
        </is>
      </c>
    </row>
    <row r="9913">
      <c r="A9913" s="3" t="n">
        <v>2023</v>
      </c>
      <c r="B9913" s="4" t="n">
        <v>8665</v>
      </c>
      <c r="C9913" s="4" t="n">
        <v>15179</v>
      </c>
      <c r="D9913" s="4" t="n">
        <v>4591.6475</v>
      </c>
      <c r="E9913" s="5" t="n">
        <v>1.9</v>
      </c>
      <c r="F9913" s="3" t="inlineStr">
        <is>
          <t>전동면</t>
        </is>
      </c>
      <c r="G9913" s="3" t="inlineStr">
        <is>
          <t>송정리</t>
        </is>
      </c>
      <c r="H9913" s="3" t="inlineStr">
        <is>
          <t>농림지역</t>
        </is>
      </c>
      <c r="I9913" s="3" t="inlineStr">
        <is>
          <t>임야</t>
        </is>
      </c>
      <c r="J9913" s="3" t="inlineStr">
        <is>
          <t>전동면</t>
        </is>
      </c>
    </row>
    <row r="9914">
      <c r="A9914" s="3" t="n">
        <v>2023</v>
      </c>
      <c r="B9914" s="4" t="n">
        <v>931</v>
      </c>
      <c r="C9914" s="4" t="n">
        <v>1150</v>
      </c>
      <c r="D9914" s="4" t="n">
        <v>347.875</v>
      </c>
      <c r="E9914" s="5" t="n">
        <v>2.7</v>
      </c>
      <c r="F9914" s="3" t="inlineStr">
        <is>
          <t>전동면</t>
        </is>
      </c>
      <c r="G9914" s="3" t="inlineStr">
        <is>
          <t>송정리</t>
        </is>
      </c>
      <c r="H9914" s="3" t="inlineStr">
        <is>
          <t>농림지역</t>
        </is>
      </c>
      <c r="I9914" s="3" t="inlineStr">
        <is>
          <t>임야</t>
        </is>
      </c>
      <c r="J9914" s="3" t="inlineStr">
        <is>
          <t>전동면</t>
        </is>
      </c>
    </row>
    <row r="9915">
      <c r="A9915" s="3" t="n">
        <v>2023</v>
      </c>
      <c r="B9915" s="4" t="n">
        <v>384</v>
      </c>
      <c r="C9915" s="4" t="n">
        <v>642</v>
      </c>
      <c r="D9915" s="4" t="n">
        <v>194.205</v>
      </c>
      <c r="E9915" s="5" t="n">
        <v>2</v>
      </c>
      <c r="F9915" s="3" t="inlineStr">
        <is>
          <t>전동면</t>
        </is>
      </c>
      <c r="G9915" s="3" t="inlineStr">
        <is>
          <t>송정리</t>
        </is>
      </c>
      <c r="H9915" s="3" t="inlineStr">
        <is>
          <t>농림지역</t>
        </is>
      </c>
      <c r="I9915" s="3" t="inlineStr">
        <is>
          <t>임야</t>
        </is>
      </c>
      <c r="J9915" s="3" t="inlineStr">
        <is>
          <t>전동면</t>
        </is>
      </c>
    </row>
    <row r="9916">
      <c r="A9916" s="3" t="n">
        <v>2023</v>
      </c>
      <c r="B9916" s="4" t="n">
        <v>20</v>
      </c>
      <c r="C9916" s="4" t="n">
        <v>32</v>
      </c>
      <c r="D9916" s="4" t="n">
        <v>9.68</v>
      </c>
      <c r="E9916" s="5" t="n">
        <v>2.1</v>
      </c>
      <c r="F9916" s="3" t="inlineStr">
        <is>
          <t>전동면</t>
        </is>
      </c>
      <c r="G9916" s="3" t="inlineStr">
        <is>
          <t>송정리</t>
        </is>
      </c>
      <c r="H9916" s="3" t="inlineStr">
        <is>
          <t>농림지역</t>
        </is>
      </c>
      <c r="I9916" s="3" t="inlineStr">
        <is>
          <t>임야</t>
        </is>
      </c>
      <c r="J9916" s="3" t="inlineStr">
        <is>
          <t>전동면</t>
        </is>
      </c>
    </row>
    <row r="9917">
      <c r="A9917" s="3" t="n">
        <v>2022</v>
      </c>
      <c r="B9917" s="4" t="n">
        <v>9990</v>
      </c>
      <c r="C9917" s="4" t="n">
        <v>2873</v>
      </c>
      <c r="D9917" s="4" t="n">
        <v>869.0825</v>
      </c>
      <c r="E9917" s="5" t="n">
        <v>11.5</v>
      </c>
      <c r="F9917" s="3" t="inlineStr">
        <is>
          <t>유구읍</t>
        </is>
      </c>
      <c r="G9917" s="3" t="inlineStr">
        <is>
          <t>입석리</t>
        </is>
      </c>
      <c r="H9917" s="3" t="inlineStr">
        <is>
          <t>농림지역</t>
        </is>
      </c>
      <c r="I9917" s="3" t="inlineStr">
        <is>
          <t>답</t>
        </is>
      </c>
      <c r="J9917" s="3" t="inlineStr">
        <is>
          <t>유구읍</t>
        </is>
      </c>
    </row>
    <row r="9918">
      <c r="A9918" s="3" t="n">
        <v>2022</v>
      </c>
      <c r="B9918" s="4" t="n">
        <v>10200</v>
      </c>
      <c r="C9918" s="4" t="n">
        <v>2934</v>
      </c>
      <c r="D9918" s="4" t="n">
        <v>887.535</v>
      </c>
      <c r="E9918" s="5" t="n">
        <v>11.5</v>
      </c>
      <c r="F9918" s="3" t="inlineStr">
        <is>
          <t>유구읍</t>
        </is>
      </c>
      <c r="G9918" s="3" t="inlineStr">
        <is>
          <t>입석리</t>
        </is>
      </c>
      <c r="H9918" s="3" t="inlineStr">
        <is>
          <t>농림지역</t>
        </is>
      </c>
      <c r="I9918" s="3" t="inlineStr">
        <is>
          <t>답</t>
        </is>
      </c>
      <c r="J9918" s="3" t="inlineStr">
        <is>
          <t>유구읍</t>
        </is>
      </c>
    </row>
    <row r="9919">
      <c r="A9919" s="3" t="n">
        <v>2022</v>
      </c>
      <c r="B9919" s="4" t="n">
        <v>7200</v>
      </c>
      <c r="C9919" s="4" t="n">
        <v>2069</v>
      </c>
      <c r="D9919" s="4" t="n">
        <v>625.8724999999999</v>
      </c>
      <c r="E9919" s="5" t="n">
        <v>11.5</v>
      </c>
      <c r="F9919" s="3" t="inlineStr">
        <is>
          <t>유구읍</t>
        </is>
      </c>
      <c r="G9919" s="3" t="inlineStr">
        <is>
          <t>입석리</t>
        </is>
      </c>
      <c r="H9919" s="3" t="inlineStr">
        <is>
          <t>농림지역</t>
        </is>
      </c>
      <c r="I9919" s="3" t="inlineStr">
        <is>
          <t>답</t>
        </is>
      </c>
      <c r="J9919" s="3" t="inlineStr">
        <is>
          <t>유구읍</t>
        </is>
      </c>
    </row>
    <row r="9920">
      <c r="A9920" s="3" t="n">
        <v>2022</v>
      </c>
      <c r="B9920" s="4" t="n">
        <v>1500</v>
      </c>
      <c r="C9920" s="4" t="n">
        <v>152</v>
      </c>
      <c r="D9920" s="4" t="n">
        <v>45.98</v>
      </c>
      <c r="E9920" s="5" t="n">
        <v>32.6</v>
      </c>
      <c r="F9920" s="3" t="inlineStr">
        <is>
          <t>유구읍</t>
        </is>
      </c>
      <c r="G9920" s="3" t="inlineStr">
        <is>
          <t>백교리</t>
        </is>
      </c>
      <c r="H9920" s="3" t="inlineStr">
        <is>
          <t>계획관리지역</t>
        </is>
      </c>
      <c r="I9920" s="3" t="inlineStr">
        <is>
          <t>전</t>
        </is>
      </c>
      <c r="J9920" s="3" t="inlineStr">
        <is>
          <t>유구읍</t>
        </is>
      </c>
    </row>
    <row r="9921">
      <c r="A9921" s="3" t="n">
        <v>2022</v>
      </c>
      <c r="B9921" s="4" t="n">
        <v>2000</v>
      </c>
      <c r="C9921" s="4" t="n">
        <v>246</v>
      </c>
      <c r="D9921" s="4" t="n">
        <v>74.41499999999999</v>
      </c>
      <c r="E9921" s="5" t="n">
        <v>26.9</v>
      </c>
      <c r="F9921" s="3" t="inlineStr">
        <is>
          <t>유구읍</t>
        </is>
      </c>
      <c r="G9921" s="3" t="inlineStr">
        <is>
          <t>백교리</t>
        </is>
      </c>
      <c r="H9921" s="3" t="inlineStr">
        <is>
          <t>-</t>
        </is>
      </c>
      <c r="I9921" s="3" t="inlineStr">
        <is>
          <t>임야</t>
        </is>
      </c>
      <c r="J9921" s="3" t="inlineStr">
        <is>
          <t>유구읍</t>
        </is>
      </c>
    </row>
    <row r="9922">
      <c r="A9922" s="3" t="n">
        <v>2022</v>
      </c>
      <c r="B9922" s="4" t="n">
        <v>5000</v>
      </c>
      <c r="C9922" s="4" t="n">
        <v>436</v>
      </c>
      <c r="D9922" s="4" t="n">
        <v>131.89</v>
      </c>
      <c r="E9922" s="5" t="n">
        <v>37.9</v>
      </c>
      <c r="F9922" s="3" t="inlineStr">
        <is>
          <t>유구읍</t>
        </is>
      </c>
      <c r="G9922" s="3" t="inlineStr">
        <is>
          <t>백교리</t>
        </is>
      </c>
      <c r="H9922" s="3" t="inlineStr">
        <is>
          <t>계획관리지역</t>
        </is>
      </c>
      <c r="I9922" s="3" t="inlineStr">
        <is>
          <t>대</t>
        </is>
      </c>
      <c r="J9922" s="3" t="inlineStr">
        <is>
          <t>유구읍</t>
        </is>
      </c>
    </row>
    <row r="9923">
      <c r="A9923" s="3" t="n">
        <v>2022</v>
      </c>
      <c r="B9923" s="4" t="n">
        <v>1500</v>
      </c>
      <c r="C9923" s="4" t="n">
        <v>152</v>
      </c>
      <c r="D9923" s="4" t="n">
        <v>45.98</v>
      </c>
      <c r="E9923" s="5" t="n">
        <v>32.6</v>
      </c>
      <c r="F9923" s="3" t="inlineStr">
        <is>
          <t>유구읍</t>
        </is>
      </c>
      <c r="G9923" s="3" t="inlineStr">
        <is>
          <t>백교리</t>
        </is>
      </c>
      <c r="H9923" s="3" t="inlineStr">
        <is>
          <t>계획관리지역</t>
        </is>
      </c>
      <c r="I9923" s="3" t="inlineStr">
        <is>
          <t>전</t>
        </is>
      </c>
      <c r="J9923" s="3" t="inlineStr">
        <is>
          <t>유구읍</t>
        </is>
      </c>
    </row>
    <row r="9924">
      <c r="A9924" s="3" t="n">
        <v>2022</v>
      </c>
      <c r="B9924" s="4" t="n">
        <v>1500</v>
      </c>
      <c r="C9924" s="4" t="n">
        <v>246</v>
      </c>
      <c r="D9924" s="4" t="n">
        <v>74.41499999999999</v>
      </c>
      <c r="E9924" s="5" t="n">
        <v>20.2</v>
      </c>
      <c r="F9924" s="3" t="inlineStr">
        <is>
          <t>유구읍</t>
        </is>
      </c>
      <c r="G9924" s="3" t="inlineStr">
        <is>
          <t>백교리</t>
        </is>
      </c>
      <c r="H9924" s="3" t="inlineStr">
        <is>
          <t>계획관리지역</t>
        </is>
      </c>
      <c r="I9924" s="3" t="inlineStr">
        <is>
          <t>임야</t>
        </is>
      </c>
      <c r="J9924" s="3" t="inlineStr">
        <is>
          <t>유구읍</t>
        </is>
      </c>
    </row>
    <row r="9925">
      <c r="A9925" s="3" t="n">
        <v>2022</v>
      </c>
      <c r="B9925" s="4" t="n">
        <v>746</v>
      </c>
      <c r="C9925" s="4" t="n">
        <v>565</v>
      </c>
      <c r="D9925" s="4" t="n">
        <v>170.9125</v>
      </c>
      <c r="E9925" s="5" t="n">
        <v>4.4</v>
      </c>
      <c r="F9925" s="3" t="inlineStr">
        <is>
          <t>유구읍</t>
        </is>
      </c>
      <c r="G9925" s="3" t="inlineStr">
        <is>
          <t>추계리</t>
        </is>
      </c>
      <c r="H9925" s="3" t="inlineStr">
        <is>
          <t>생산관리지역</t>
        </is>
      </c>
      <c r="I9925" s="3" t="inlineStr">
        <is>
          <t>전</t>
        </is>
      </c>
      <c r="J9925" s="3" t="inlineStr">
        <is>
          <t>유구읍</t>
        </is>
      </c>
    </row>
    <row r="9926">
      <c r="A9926" s="3" t="n">
        <v>2022</v>
      </c>
      <c r="B9926" s="4" t="n">
        <v>1769</v>
      </c>
      <c r="C9926" s="4" t="n">
        <v>1339</v>
      </c>
      <c r="D9926" s="4" t="n">
        <v>405.0475</v>
      </c>
      <c r="E9926" s="5" t="n">
        <v>4.4</v>
      </c>
      <c r="F9926" s="3" t="inlineStr">
        <is>
          <t>유구읍</t>
        </is>
      </c>
      <c r="G9926" s="3" t="inlineStr">
        <is>
          <t>추계리</t>
        </is>
      </c>
      <c r="H9926" s="3" t="inlineStr">
        <is>
          <t>생산관리지역</t>
        </is>
      </c>
      <c r="I9926" s="3" t="inlineStr">
        <is>
          <t>전</t>
        </is>
      </c>
      <c r="J9926" s="3" t="inlineStr">
        <is>
          <t>유구읍</t>
        </is>
      </c>
    </row>
    <row r="9927">
      <c r="A9927" s="3" t="n">
        <v>2022</v>
      </c>
      <c r="B9927" s="4" t="n">
        <v>5782</v>
      </c>
      <c r="C9927" s="4" t="n">
        <v>4377</v>
      </c>
      <c r="D9927" s="4" t="n">
        <v>1324.0425</v>
      </c>
      <c r="E9927" s="5" t="n">
        <v>4.4</v>
      </c>
      <c r="F9927" s="3" t="inlineStr">
        <is>
          <t>유구읍</t>
        </is>
      </c>
      <c r="G9927" s="3" t="inlineStr">
        <is>
          <t>추계리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유구읍</t>
        </is>
      </c>
    </row>
    <row r="9928">
      <c r="A9928" s="3" t="n">
        <v>2022</v>
      </c>
      <c r="B9928" s="4" t="n">
        <v>1703</v>
      </c>
      <c r="C9928" s="4" t="n">
        <v>1289</v>
      </c>
      <c r="D9928" s="4" t="n">
        <v>389.9225</v>
      </c>
      <c r="E9928" s="5" t="n">
        <v>4.4</v>
      </c>
      <c r="F9928" s="3" t="inlineStr">
        <is>
          <t>유구읍</t>
        </is>
      </c>
      <c r="G9928" s="3" t="inlineStr">
        <is>
          <t>추계리</t>
        </is>
      </c>
      <c r="H9928" s="3" t="inlineStr">
        <is>
          <t>생산관리지역</t>
        </is>
      </c>
      <c r="I9928" s="3" t="inlineStr">
        <is>
          <t>임야</t>
        </is>
      </c>
      <c r="J9928" s="3" t="inlineStr">
        <is>
          <t>유구읍</t>
        </is>
      </c>
    </row>
    <row r="9929">
      <c r="A9929" s="3" t="n">
        <v>2022</v>
      </c>
      <c r="B9929" s="4" t="n">
        <v>1500</v>
      </c>
      <c r="C9929" s="4" t="n">
        <v>343</v>
      </c>
      <c r="D9929" s="4" t="n">
        <v>103.7575</v>
      </c>
      <c r="E9929" s="5" t="n">
        <v>14.5</v>
      </c>
      <c r="F9929" s="3" t="inlineStr">
        <is>
          <t>유구읍</t>
        </is>
      </c>
      <c r="G9929" s="3" t="inlineStr">
        <is>
          <t>문금리</t>
        </is>
      </c>
      <c r="H9929" s="3" t="inlineStr">
        <is>
          <t>계획관리지역</t>
        </is>
      </c>
      <c r="I9929" s="3" t="inlineStr">
        <is>
          <t>답</t>
        </is>
      </c>
      <c r="J9929" s="3" t="inlineStr">
        <is>
          <t>유구읍</t>
        </is>
      </c>
    </row>
    <row r="9930">
      <c r="A9930" s="3" t="n">
        <v>2022</v>
      </c>
      <c r="B9930" s="4" t="n">
        <v>8100</v>
      </c>
      <c r="C9930" s="4" t="n">
        <v>2449</v>
      </c>
      <c r="D9930" s="4" t="n">
        <v>740.8225</v>
      </c>
      <c r="E9930" s="5" t="n">
        <v>10.9</v>
      </c>
      <c r="F9930" s="3" t="inlineStr">
        <is>
          <t>유구읍</t>
        </is>
      </c>
      <c r="G9930" s="3" t="inlineStr">
        <is>
          <t>신영리</t>
        </is>
      </c>
      <c r="H9930" s="3" t="inlineStr">
        <is>
          <t>농림지역</t>
        </is>
      </c>
      <c r="I9930" s="3" t="inlineStr">
        <is>
          <t>답</t>
        </is>
      </c>
      <c r="J9930" s="3" t="inlineStr">
        <is>
          <t>유구읍</t>
        </is>
      </c>
    </row>
    <row r="9931">
      <c r="A9931" s="3" t="n">
        <v>2022</v>
      </c>
      <c r="B9931" s="4" t="n">
        <v>5500</v>
      </c>
      <c r="C9931" s="4" t="n">
        <v>1238</v>
      </c>
      <c r="D9931" s="4" t="n">
        <v>374.495</v>
      </c>
      <c r="E9931" s="5" t="n">
        <v>14.7</v>
      </c>
      <c r="F9931" s="3" t="inlineStr">
        <is>
          <t>유구읍</t>
        </is>
      </c>
      <c r="G9931" s="3" t="inlineStr">
        <is>
          <t>노동리</t>
        </is>
      </c>
      <c r="H9931" s="3" t="inlineStr">
        <is>
          <t>계획관리지역</t>
        </is>
      </c>
      <c r="I9931" s="3" t="inlineStr">
        <is>
          <t>답</t>
        </is>
      </c>
      <c r="J9931" s="3" t="inlineStr">
        <is>
          <t>유구읍</t>
        </is>
      </c>
    </row>
    <row r="9932">
      <c r="A9932" s="3" t="n">
        <v>2022</v>
      </c>
      <c r="B9932" s="4" t="n">
        <v>4490</v>
      </c>
      <c r="C9932" s="4" t="n">
        <v>1167</v>
      </c>
      <c r="D9932" s="4" t="n">
        <v>353.0175</v>
      </c>
      <c r="E9932" s="5" t="n">
        <v>12.7</v>
      </c>
      <c r="F9932" s="3" t="inlineStr">
        <is>
          <t>유구읍</t>
        </is>
      </c>
      <c r="G9932" s="3" t="inlineStr">
        <is>
          <t>신영리</t>
        </is>
      </c>
      <c r="H9932" s="3" t="inlineStr">
        <is>
          <t>보전관리지역</t>
        </is>
      </c>
      <c r="I9932" s="3" t="inlineStr">
        <is>
          <t>답</t>
        </is>
      </c>
      <c r="J9932" s="3" t="inlineStr">
        <is>
          <t>유구읍</t>
        </is>
      </c>
    </row>
    <row r="9933">
      <c r="A9933" s="3" t="n">
        <v>2022</v>
      </c>
      <c r="B9933" s="4" t="n">
        <v>4450</v>
      </c>
      <c r="C9933" s="4" t="n">
        <v>530</v>
      </c>
      <c r="D9933" s="4" t="n">
        <v>160.325</v>
      </c>
      <c r="E9933" s="5" t="n">
        <v>27.8</v>
      </c>
      <c r="F9933" s="3" t="inlineStr">
        <is>
          <t>유구읍</t>
        </is>
      </c>
      <c r="G9933" s="3" t="inlineStr">
        <is>
          <t>유구리</t>
        </is>
      </c>
      <c r="H9933" s="3" t="inlineStr">
        <is>
          <t>계획관리지역</t>
        </is>
      </c>
      <c r="I9933" s="3" t="inlineStr">
        <is>
          <t>대</t>
        </is>
      </c>
      <c r="J9933" s="3" t="inlineStr">
        <is>
          <t>유구읍</t>
        </is>
      </c>
    </row>
    <row r="9934">
      <c r="A9934" s="3" t="n">
        <v>2024</v>
      </c>
      <c r="B9934" s="4" t="n">
        <v>6000</v>
      </c>
      <c r="C9934" s="4" t="n">
        <v>199</v>
      </c>
      <c r="D9934" s="4" t="n">
        <v>60.1975</v>
      </c>
      <c r="E9934" s="5" t="n">
        <v>99.7</v>
      </c>
      <c r="F9934" s="3" t="inlineStr">
        <is>
          <t>전의면</t>
        </is>
      </c>
      <c r="G9934" s="3" t="inlineStr">
        <is>
          <t>영당리</t>
        </is>
      </c>
      <c r="H9934" s="3" t="inlineStr">
        <is>
          <t>계획관리지역</t>
        </is>
      </c>
      <c r="I9934" s="3" t="inlineStr">
        <is>
          <t>대</t>
        </is>
      </c>
      <c r="J9934" s="3" t="inlineStr">
        <is>
          <t>전의면</t>
        </is>
      </c>
    </row>
    <row r="9935">
      <c r="A9935" s="3" t="n">
        <v>2024</v>
      </c>
      <c r="B9935" s="4" t="n">
        <v>26376</v>
      </c>
      <c r="C9935" s="4" t="n">
        <v>519</v>
      </c>
      <c r="D9935" s="4" t="n">
        <v>156.9975</v>
      </c>
      <c r="E9935" s="5" t="n">
        <v>168</v>
      </c>
      <c r="F9935" s="3" t="inlineStr">
        <is>
          <t>장군면</t>
        </is>
      </c>
      <c r="G9935" s="3" t="inlineStr">
        <is>
          <t>금암리</t>
        </is>
      </c>
      <c r="H9935" s="3" t="inlineStr">
        <is>
          <t>계획관리지역</t>
        </is>
      </c>
      <c r="I9935" s="3" t="inlineStr">
        <is>
          <t>임야</t>
        </is>
      </c>
      <c r="J9935" s="3" t="inlineStr">
        <is>
          <t>장군면</t>
        </is>
      </c>
    </row>
    <row r="9936">
      <c r="A9936" s="3" t="n">
        <v>2024</v>
      </c>
      <c r="B9936" s="4" t="n">
        <v>9000</v>
      </c>
      <c r="C9936" s="4" t="n">
        <v>199</v>
      </c>
      <c r="D9936" s="4" t="n">
        <v>60.1975</v>
      </c>
      <c r="E9936" s="5" t="n">
        <v>149.5</v>
      </c>
      <c r="F9936" s="3" t="inlineStr">
        <is>
          <t>장군면</t>
        </is>
      </c>
      <c r="G9936" s="3" t="inlineStr">
        <is>
          <t>용암리</t>
        </is>
      </c>
      <c r="H9936" s="3" t="inlineStr">
        <is>
          <t>보전관리지역</t>
        </is>
      </c>
      <c r="I9936" s="3" t="inlineStr">
        <is>
          <t>임야</t>
        </is>
      </c>
      <c r="J9936" s="3" t="inlineStr">
        <is>
          <t>장군면</t>
        </is>
      </c>
    </row>
    <row r="9937">
      <c r="A9937" s="3" t="n">
        <v>2024</v>
      </c>
      <c r="B9937" s="4" t="n">
        <v>23808</v>
      </c>
      <c r="C9937" s="4" t="n">
        <v>512</v>
      </c>
      <c r="D9937" s="4" t="n">
        <v>154.88</v>
      </c>
      <c r="E9937" s="5" t="n">
        <v>153.7</v>
      </c>
      <c r="F9937" s="3" t="inlineStr">
        <is>
          <t>금남면</t>
        </is>
      </c>
      <c r="G9937" s="3" t="inlineStr">
        <is>
          <t>남곡리</t>
        </is>
      </c>
      <c r="H9937" s="3" t="inlineStr">
        <is>
          <t>제1종일반주거지역</t>
        </is>
      </c>
      <c r="I9937" s="3" t="inlineStr">
        <is>
          <t>전</t>
        </is>
      </c>
      <c r="J9937" s="3" t="inlineStr">
        <is>
          <t>금남면</t>
        </is>
      </c>
    </row>
    <row r="9938">
      <c r="A9938" s="3" t="n">
        <v>2024</v>
      </c>
      <c r="B9938" s="4" t="n">
        <v>60000</v>
      </c>
      <c r="C9938" s="4" t="n">
        <v>326</v>
      </c>
      <c r="D9938" s="4" t="n">
        <v>98.61499999999999</v>
      </c>
      <c r="E9938" s="5" t="n">
        <v>608.4</v>
      </c>
      <c r="F9938" s="3" t="inlineStr">
        <is>
          <t>해밀동</t>
        </is>
      </c>
      <c r="G9938" s="3" t="inlineStr"/>
      <c r="H9938" s="3" t="inlineStr">
        <is>
          <t>기타</t>
        </is>
      </c>
      <c r="I9938" s="3" t="inlineStr">
        <is>
          <t>대</t>
        </is>
      </c>
      <c r="J9938" s="3" t="inlineStr">
        <is>
          <t>해밀동</t>
        </is>
      </c>
    </row>
    <row r="9939">
      <c r="A9939" s="3" t="n">
        <v>2024</v>
      </c>
      <c r="B9939" s="4" t="n">
        <v>36000</v>
      </c>
      <c r="C9939" s="4" t="n">
        <v>1322</v>
      </c>
      <c r="D9939" s="4" t="n">
        <v>399.905</v>
      </c>
      <c r="E9939" s="5" t="n">
        <v>90</v>
      </c>
      <c r="F9939" s="3" t="inlineStr">
        <is>
          <t>장군면</t>
        </is>
      </c>
      <c r="G9939" s="3" t="inlineStr">
        <is>
          <t>도계리</t>
        </is>
      </c>
      <c r="H9939" s="3" t="inlineStr">
        <is>
          <t>농림지역</t>
        </is>
      </c>
      <c r="I9939" s="3" t="inlineStr">
        <is>
          <t>전</t>
        </is>
      </c>
      <c r="J9939" s="3" t="inlineStr">
        <is>
          <t>장군면</t>
        </is>
      </c>
    </row>
    <row r="9940">
      <c r="A9940" s="3" t="n">
        <v>2024</v>
      </c>
      <c r="B9940" s="4" t="n">
        <v>16000</v>
      </c>
      <c r="C9940" s="4" t="n">
        <v>6076</v>
      </c>
      <c r="D9940" s="4" t="n">
        <v>1837.99</v>
      </c>
      <c r="E9940" s="5" t="n">
        <v>8.699999999999999</v>
      </c>
      <c r="F9940" s="3" t="inlineStr">
        <is>
          <t>전동면</t>
        </is>
      </c>
      <c r="G9940" s="3" t="inlineStr">
        <is>
          <t>청송리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전동면</t>
        </is>
      </c>
    </row>
    <row r="9941">
      <c r="A9941" s="3" t="n">
        <v>2024</v>
      </c>
      <c r="B9941" s="4" t="n">
        <v>50000</v>
      </c>
      <c r="C9941" s="4" t="n">
        <v>322</v>
      </c>
      <c r="D9941" s="4" t="n">
        <v>97.405</v>
      </c>
      <c r="E9941" s="5" t="n">
        <v>513.3</v>
      </c>
      <c r="F9941" s="3" t="inlineStr">
        <is>
          <t>반곡동</t>
        </is>
      </c>
      <c r="G9941" s="3" t="inlineStr"/>
      <c r="H9941" s="3" t="inlineStr">
        <is>
          <t>제1종전용주거지역</t>
        </is>
      </c>
      <c r="I9941" s="3" t="inlineStr">
        <is>
          <t>대</t>
        </is>
      </c>
      <c r="J9941" s="3" t="inlineStr">
        <is>
          <t>반곡동</t>
        </is>
      </c>
    </row>
    <row r="9942">
      <c r="A9942" s="3" t="n">
        <v>2024</v>
      </c>
      <c r="B9942" s="4" t="n">
        <v>24350</v>
      </c>
      <c r="C9942" s="4" t="n">
        <v>256</v>
      </c>
      <c r="D9942" s="4" t="n">
        <v>77.44</v>
      </c>
      <c r="E9942" s="5" t="n">
        <v>314.4</v>
      </c>
      <c r="F9942" s="3" t="inlineStr">
        <is>
          <t>집현동</t>
        </is>
      </c>
      <c r="G9942" s="3" t="inlineStr"/>
      <c r="H9942" s="3" t="inlineStr">
        <is>
          <t>기타</t>
        </is>
      </c>
      <c r="I9942" s="3" t="inlineStr">
        <is>
          <t>대</t>
        </is>
      </c>
      <c r="J9942" s="3" t="inlineStr">
        <is>
          <t>집현동</t>
        </is>
      </c>
    </row>
    <row r="9943">
      <c r="A9943" s="3" t="n">
        <v>2024</v>
      </c>
      <c r="B9943" s="4" t="n">
        <v>59000</v>
      </c>
      <c r="C9943" s="4" t="n">
        <v>1098</v>
      </c>
      <c r="D9943" s="4" t="n">
        <v>332.145</v>
      </c>
      <c r="E9943" s="5" t="n">
        <v>177.6</v>
      </c>
      <c r="F9943" s="3" t="inlineStr">
        <is>
          <t>전의면</t>
        </is>
      </c>
      <c r="G9943" s="3" t="inlineStr">
        <is>
          <t>읍내리</t>
        </is>
      </c>
      <c r="H9943" s="3" t="inlineStr">
        <is>
          <t>계획관리지역</t>
        </is>
      </c>
      <c r="I9943" s="3" t="inlineStr">
        <is>
          <t>과수원</t>
        </is>
      </c>
      <c r="J9943" s="3" t="inlineStr">
        <is>
          <t>전의면</t>
        </is>
      </c>
    </row>
    <row r="9944">
      <c r="A9944" s="3" t="n">
        <v>2024</v>
      </c>
      <c r="B9944" s="4" t="n">
        <v>49400</v>
      </c>
      <c r="C9944" s="4" t="n">
        <v>358.7</v>
      </c>
      <c r="D9944" s="4" t="n">
        <v>108.50675</v>
      </c>
      <c r="E9944" s="5" t="n">
        <v>455.3</v>
      </c>
      <c r="F9944" s="3" t="inlineStr">
        <is>
          <t>고운동</t>
        </is>
      </c>
      <c r="G9944" s="3" t="inlineStr"/>
      <c r="H9944" s="3" t="inlineStr">
        <is>
          <t>제1종전용주거지역</t>
        </is>
      </c>
      <c r="I9944" s="3" t="inlineStr">
        <is>
          <t>대</t>
        </is>
      </c>
      <c r="J9944" s="3" t="inlineStr">
        <is>
          <t>고운동</t>
        </is>
      </c>
    </row>
    <row r="9945">
      <c r="A9945" s="3" t="n">
        <v>2024</v>
      </c>
      <c r="B9945" s="4" t="n">
        <v>17200</v>
      </c>
      <c r="C9945" s="4" t="n">
        <v>2506</v>
      </c>
      <c r="D9945" s="4" t="n">
        <v>758.0649999999999</v>
      </c>
      <c r="E9945" s="5" t="n">
        <v>22.7</v>
      </c>
      <c r="F9945" s="3" t="inlineStr">
        <is>
          <t>전동면</t>
        </is>
      </c>
      <c r="G9945" s="3" t="inlineStr">
        <is>
          <t>송성리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2024</v>
      </c>
      <c r="B9946" s="4" t="n">
        <v>16730</v>
      </c>
      <c r="C9946" s="4" t="n">
        <v>641</v>
      </c>
      <c r="D9946" s="4" t="n">
        <v>193.9025</v>
      </c>
      <c r="E9946" s="5" t="n">
        <v>86.3</v>
      </c>
      <c r="F9946" s="3" t="inlineStr">
        <is>
          <t>금남면</t>
        </is>
      </c>
      <c r="G9946" s="3" t="inlineStr">
        <is>
          <t>두만리</t>
        </is>
      </c>
      <c r="H9946" s="3" t="inlineStr">
        <is>
          <t>농림지역</t>
        </is>
      </c>
      <c r="I9946" s="3" t="inlineStr">
        <is>
          <t>전</t>
        </is>
      </c>
      <c r="J9946" s="3" t="inlineStr">
        <is>
          <t>금남면</t>
        </is>
      </c>
    </row>
    <row r="9947">
      <c r="A9947" s="3" t="n">
        <v>2024</v>
      </c>
      <c r="B9947" s="4" t="n">
        <v>2923</v>
      </c>
      <c r="C9947" s="4" t="n">
        <v>112</v>
      </c>
      <c r="D9947" s="4" t="n">
        <v>33.88</v>
      </c>
      <c r="E9947" s="5" t="n">
        <v>86.3</v>
      </c>
      <c r="F9947" s="3" t="inlineStr">
        <is>
          <t>금남면</t>
        </is>
      </c>
      <c r="G9947" s="3" t="inlineStr">
        <is>
          <t>두만리</t>
        </is>
      </c>
      <c r="H9947" s="3" t="inlineStr">
        <is>
          <t>농림지역</t>
        </is>
      </c>
      <c r="I9947" s="3" t="inlineStr">
        <is>
          <t>전</t>
        </is>
      </c>
      <c r="J9947" s="3" t="inlineStr">
        <is>
          <t>금남면</t>
        </is>
      </c>
    </row>
    <row r="9948">
      <c r="A9948" s="3" t="n">
        <v>2024</v>
      </c>
      <c r="B9948" s="4" t="n">
        <v>1305</v>
      </c>
      <c r="C9948" s="4" t="n">
        <v>50</v>
      </c>
      <c r="D9948" s="4" t="n">
        <v>15.125</v>
      </c>
      <c r="E9948" s="5" t="n">
        <v>86.3</v>
      </c>
      <c r="F9948" s="3" t="inlineStr">
        <is>
          <t>금남면</t>
        </is>
      </c>
      <c r="G9948" s="3" t="inlineStr">
        <is>
          <t>두만리</t>
        </is>
      </c>
      <c r="H9948" s="3" t="inlineStr">
        <is>
          <t>농림지역</t>
        </is>
      </c>
      <c r="I9948" s="3" t="inlineStr">
        <is>
          <t>전</t>
        </is>
      </c>
      <c r="J9948" s="3" t="inlineStr">
        <is>
          <t>금남면</t>
        </is>
      </c>
    </row>
    <row r="9949">
      <c r="A9949" s="3" t="n">
        <v>2024</v>
      </c>
      <c r="B9949" s="4" t="n">
        <v>2897</v>
      </c>
      <c r="C9949" s="4" t="n">
        <v>111</v>
      </c>
      <c r="D9949" s="4" t="n">
        <v>33.5775</v>
      </c>
      <c r="E9949" s="5" t="n">
        <v>86.3</v>
      </c>
      <c r="F9949" s="3" t="inlineStr">
        <is>
          <t>금남면</t>
        </is>
      </c>
      <c r="G9949" s="3" t="inlineStr">
        <is>
          <t>두만리</t>
        </is>
      </c>
      <c r="H9949" s="3" t="inlineStr">
        <is>
          <t>농림지역</t>
        </is>
      </c>
      <c r="I9949" s="3" t="inlineStr">
        <is>
          <t>하천</t>
        </is>
      </c>
      <c r="J9949" s="3" t="inlineStr">
        <is>
          <t>금남면</t>
        </is>
      </c>
    </row>
    <row r="9950">
      <c r="A9950" s="3" t="n">
        <v>2024</v>
      </c>
      <c r="B9950" s="4" t="n">
        <v>7726</v>
      </c>
      <c r="C9950" s="4" t="n">
        <v>296</v>
      </c>
      <c r="D9950" s="4" t="n">
        <v>89.53999999999999</v>
      </c>
      <c r="E9950" s="5" t="n">
        <v>86.3</v>
      </c>
      <c r="F9950" s="3" t="inlineStr">
        <is>
          <t>금남면</t>
        </is>
      </c>
      <c r="G9950" s="3" t="inlineStr">
        <is>
          <t>두만리</t>
        </is>
      </c>
      <c r="H9950" s="3" t="inlineStr">
        <is>
          <t>농림지역</t>
        </is>
      </c>
      <c r="I9950" s="3" t="inlineStr">
        <is>
          <t>하천</t>
        </is>
      </c>
      <c r="J9950" s="3" t="inlineStr">
        <is>
          <t>금남면</t>
        </is>
      </c>
    </row>
    <row r="9951">
      <c r="A9951" s="3" t="n">
        <v>2024</v>
      </c>
      <c r="B9951" s="4" t="n">
        <v>12243</v>
      </c>
      <c r="C9951" s="4" t="n">
        <v>940</v>
      </c>
      <c r="D9951" s="4" t="n">
        <v>284.35</v>
      </c>
      <c r="E9951" s="5" t="n">
        <v>43.1</v>
      </c>
      <c r="F9951" s="3" t="inlineStr">
        <is>
          <t>전동면</t>
        </is>
      </c>
      <c r="G9951" s="3" t="inlineStr">
        <is>
          <t>미곡리</t>
        </is>
      </c>
      <c r="H9951" s="3" t="inlineStr">
        <is>
          <t>생산관리지역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2024</v>
      </c>
      <c r="B9952" s="4" t="n">
        <v>3350</v>
      </c>
      <c r="C9952" s="4" t="n">
        <v>356</v>
      </c>
      <c r="D9952" s="4" t="n">
        <v>107.69</v>
      </c>
      <c r="E9952" s="5" t="n">
        <v>31.1</v>
      </c>
      <c r="F9952" s="3" t="inlineStr">
        <is>
          <t>전의면</t>
        </is>
      </c>
      <c r="G9952" s="3" t="inlineStr">
        <is>
          <t>양곡리</t>
        </is>
      </c>
      <c r="H9952" s="3" t="inlineStr">
        <is>
          <t>계획관리지역</t>
        </is>
      </c>
      <c r="I9952" s="3" t="inlineStr">
        <is>
          <t>대</t>
        </is>
      </c>
      <c r="J9952" s="3" t="inlineStr">
        <is>
          <t>전의면</t>
        </is>
      </c>
    </row>
    <row r="9953">
      <c r="A9953" s="3" t="n">
        <v>2024</v>
      </c>
      <c r="B9953" s="4" t="n">
        <v>14000</v>
      </c>
      <c r="C9953" s="4" t="n">
        <v>155</v>
      </c>
      <c r="D9953" s="4" t="n">
        <v>46.8875</v>
      </c>
      <c r="E9953" s="5" t="n">
        <v>298.6</v>
      </c>
      <c r="F9953" s="3" t="inlineStr">
        <is>
          <t>조치원읍</t>
        </is>
      </c>
      <c r="G9953" s="3" t="inlineStr">
        <is>
          <t>남리</t>
        </is>
      </c>
      <c r="H9953" s="3" t="inlineStr">
        <is>
          <t>제2종일반주거지역</t>
        </is>
      </c>
      <c r="I9953" s="3" t="inlineStr">
        <is>
          <t>대</t>
        </is>
      </c>
      <c r="J9953" s="3" t="inlineStr">
        <is>
          <t>조치원읍</t>
        </is>
      </c>
    </row>
    <row r="9954">
      <c r="A9954" s="3" t="n">
        <v>2024</v>
      </c>
      <c r="B9954" s="4" t="n">
        <v>18000</v>
      </c>
      <c r="C9954" s="4" t="n">
        <v>841</v>
      </c>
      <c r="D9954" s="4" t="n">
        <v>254.4025</v>
      </c>
      <c r="E9954" s="5" t="n">
        <v>70.8</v>
      </c>
      <c r="F9954" s="3" t="inlineStr">
        <is>
          <t>연서면</t>
        </is>
      </c>
      <c r="G9954" s="3" t="inlineStr">
        <is>
          <t>기룡리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2024</v>
      </c>
      <c r="B9955" s="4" t="n">
        <v>5000</v>
      </c>
      <c r="C9955" s="4" t="n">
        <v>200</v>
      </c>
      <c r="D9955" s="4" t="n">
        <v>60.5</v>
      </c>
      <c r="E9955" s="5" t="n">
        <v>82.59999999999999</v>
      </c>
      <c r="F9955" s="3" t="inlineStr">
        <is>
          <t>금남면</t>
        </is>
      </c>
      <c r="G9955" s="3" t="inlineStr">
        <is>
          <t>용포리</t>
        </is>
      </c>
      <c r="H9955" s="3" t="inlineStr">
        <is>
          <t>자연녹지지역</t>
        </is>
      </c>
      <c r="I9955" s="3" t="inlineStr">
        <is>
          <t>대</t>
        </is>
      </c>
      <c r="J9955" s="3" t="inlineStr">
        <is>
          <t>금남면</t>
        </is>
      </c>
    </row>
    <row r="9956">
      <c r="A9956" s="3" t="n">
        <v>2024</v>
      </c>
      <c r="B9956" s="4" t="n">
        <v>1500</v>
      </c>
      <c r="C9956" s="4" t="n">
        <v>100</v>
      </c>
      <c r="D9956" s="4" t="n">
        <v>30.25</v>
      </c>
      <c r="E9956" s="5" t="n">
        <v>49.6</v>
      </c>
      <c r="F9956" s="3" t="inlineStr">
        <is>
          <t>금남면</t>
        </is>
      </c>
      <c r="G9956" s="3" t="inlineStr">
        <is>
          <t>용포리</t>
        </is>
      </c>
      <c r="H9956" s="3" t="inlineStr">
        <is>
          <t>제1종일반주거지역</t>
        </is>
      </c>
      <c r="I9956" s="3" t="inlineStr">
        <is>
          <t>임야</t>
        </is>
      </c>
      <c r="J9956" s="3" t="inlineStr">
        <is>
          <t>금남면</t>
        </is>
      </c>
    </row>
    <row r="9957">
      <c r="A9957" s="3" t="n">
        <v>2024</v>
      </c>
      <c r="B9957" s="4" t="n">
        <v>59000</v>
      </c>
      <c r="C9957" s="4" t="n">
        <v>707</v>
      </c>
      <c r="D9957" s="4" t="n">
        <v>213.8675</v>
      </c>
      <c r="E9957" s="5" t="n">
        <v>275.9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대</t>
        </is>
      </c>
      <c r="J9957" s="3" t="inlineStr">
        <is>
          <t>연동면</t>
        </is>
      </c>
    </row>
    <row r="9958">
      <c r="A9958" s="3" t="n">
        <v>2024</v>
      </c>
      <c r="B9958" s="4" t="n">
        <v>7500</v>
      </c>
      <c r="C9958" s="4" t="n">
        <v>595</v>
      </c>
      <c r="D9958" s="4" t="n">
        <v>179.9875</v>
      </c>
      <c r="E9958" s="5" t="n">
        <v>41.7</v>
      </c>
      <c r="F9958" s="3" t="inlineStr">
        <is>
          <t>조치원읍</t>
        </is>
      </c>
      <c r="G9958" s="3" t="inlineStr">
        <is>
          <t>서창리</t>
        </is>
      </c>
      <c r="H9958" s="3" t="inlineStr">
        <is>
          <t>자연녹지지역</t>
        </is>
      </c>
      <c r="I9958" s="3" t="inlineStr">
        <is>
          <t>도로</t>
        </is>
      </c>
      <c r="J9958" s="3" t="inlineStr">
        <is>
          <t>조치원읍</t>
        </is>
      </c>
    </row>
    <row r="9959">
      <c r="A9959" s="3" t="n">
        <v>2024</v>
      </c>
      <c r="B9959" s="4" t="n">
        <v>2380</v>
      </c>
      <c r="C9959" s="4" t="n">
        <v>231</v>
      </c>
      <c r="D9959" s="4" t="n">
        <v>69.8775</v>
      </c>
      <c r="E9959" s="5" t="n">
        <v>34.1</v>
      </c>
      <c r="F9959" s="3" t="inlineStr">
        <is>
          <t>전의면</t>
        </is>
      </c>
      <c r="G9959" s="3" t="inlineStr">
        <is>
          <t>유천리</t>
        </is>
      </c>
      <c r="H9959" s="3" t="inlineStr">
        <is>
          <t>계획관리지역</t>
        </is>
      </c>
      <c r="I9959" s="3" t="inlineStr">
        <is>
          <t>임야</t>
        </is>
      </c>
      <c r="J9959" s="3" t="inlineStr">
        <is>
          <t>전의면</t>
        </is>
      </c>
    </row>
    <row r="9960">
      <c r="A9960" s="3" t="n">
        <v>2024</v>
      </c>
      <c r="B9960" s="4" t="n">
        <v>4000</v>
      </c>
      <c r="C9960" s="4" t="n">
        <v>1323</v>
      </c>
      <c r="D9960" s="4" t="n">
        <v>400.2075</v>
      </c>
      <c r="E9960" s="5" t="n">
        <v>10</v>
      </c>
      <c r="F9960" s="3" t="inlineStr">
        <is>
          <t>장군면</t>
        </is>
      </c>
      <c r="G9960" s="3" t="inlineStr">
        <is>
          <t>금암리</t>
        </is>
      </c>
      <c r="H9960" s="3" t="inlineStr">
        <is>
          <t>농림지역</t>
        </is>
      </c>
      <c r="I9960" s="3" t="inlineStr">
        <is>
          <t>임야</t>
        </is>
      </c>
      <c r="J9960" s="3" t="inlineStr">
        <is>
          <t>장군면</t>
        </is>
      </c>
    </row>
    <row r="9961">
      <c r="A9961" s="3" t="n">
        <v>2026</v>
      </c>
      <c r="B9961" s="4" t="n">
        <v>6770</v>
      </c>
      <c r="C9961" s="4" t="n">
        <v>654</v>
      </c>
      <c r="D9961" s="4" t="n">
        <v>197.835</v>
      </c>
      <c r="E9961" s="5" t="n">
        <v>34.2</v>
      </c>
      <c r="F9961" s="3" t="inlineStr">
        <is>
          <t>유구읍</t>
        </is>
      </c>
      <c r="G9961" s="3" t="inlineStr">
        <is>
          <t>구계리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유구읍</t>
        </is>
      </c>
    </row>
    <row r="9962">
      <c r="A9962" s="3" t="n">
        <v>2026</v>
      </c>
      <c r="B9962" s="4" t="n">
        <v>160</v>
      </c>
      <c r="C9962" s="4" t="n">
        <v>98</v>
      </c>
      <c r="D9962" s="4" t="n">
        <v>29.645</v>
      </c>
      <c r="E9962" s="5" t="n">
        <v>5.4</v>
      </c>
      <c r="F9962" s="3" t="inlineStr">
        <is>
          <t>유구읍</t>
        </is>
      </c>
      <c r="G9962" s="3" t="inlineStr">
        <is>
          <t>구계리</t>
        </is>
      </c>
      <c r="H9962" s="3" t="inlineStr">
        <is>
          <t>계획관리지역</t>
        </is>
      </c>
      <c r="I9962" s="3" t="inlineStr">
        <is>
          <t>도로</t>
        </is>
      </c>
      <c r="J9962" s="3" t="inlineStr">
        <is>
          <t>유구읍</t>
        </is>
      </c>
    </row>
    <row r="9963">
      <c r="A9963" s="3" t="n">
        <v>2025</v>
      </c>
      <c r="B9963" s="4" t="n">
        <v>7000</v>
      </c>
      <c r="C9963" s="4" t="n">
        <v>662.2</v>
      </c>
      <c r="D9963" s="4" t="n">
        <v>200.3155</v>
      </c>
      <c r="E9963" s="5" t="n">
        <v>34.9</v>
      </c>
      <c r="F9963" s="3" t="inlineStr">
        <is>
          <t>전의면</t>
        </is>
      </c>
      <c r="G9963" s="3" t="inlineStr">
        <is>
          <t>신정리</t>
        </is>
      </c>
      <c r="H9963" s="3" t="inlineStr">
        <is>
          <t>계획관리지역</t>
        </is>
      </c>
      <c r="I9963" s="3" t="inlineStr">
        <is>
          <t>대</t>
        </is>
      </c>
      <c r="J9963" s="3" t="inlineStr">
        <is>
          <t>전의면</t>
        </is>
      </c>
    </row>
    <row r="9964">
      <c r="A9964" s="3" t="n">
        <v>2025</v>
      </c>
      <c r="B9964" s="4" t="n">
        <v>42121</v>
      </c>
      <c r="C9964" s="4" t="n">
        <v>1907</v>
      </c>
      <c r="D9964" s="4" t="n">
        <v>576.8674999999999</v>
      </c>
      <c r="E9964" s="5" t="n">
        <v>73</v>
      </c>
      <c r="F9964" s="3" t="inlineStr">
        <is>
          <t>장군면</t>
        </is>
      </c>
      <c r="G9964" s="3" t="inlineStr">
        <is>
          <t>금암리</t>
        </is>
      </c>
      <c r="H9964" s="3" t="inlineStr">
        <is>
          <t>농림지역</t>
        </is>
      </c>
      <c r="I9964" s="3" t="inlineStr">
        <is>
          <t>임야</t>
        </is>
      </c>
      <c r="J9964" s="3" t="inlineStr">
        <is>
          <t>장군면</t>
        </is>
      </c>
    </row>
    <row r="9965">
      <c r="A9965" s="3" t="n">
        <v>2025</v>
      </c>
      <c r="B9965" s="4" t="n">
        <v>3200</v>
      </c>
      <c r="C9965" s="4" t="n">
        <v>17</v>
      </c>
      <c r="D9965" s="4" t="n">
        <v>5.1425</v>
      </c>
      <c r="E9965" s="5" t="n">
        <v>622.3</v>
      </c>
      <c r="F9965" s="3" t="inlineStr">
        <is>
          <t>부강면</t>
        </is>
      </c>
      <c r="G9965" s="3" t="inlineStr">
        <is>
          <t>부강리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부강면</t>
        </is>
      </c>
    </row>
    <row r="9966">
      <c r="A9966" s="3" t="n">
        <v>2025</v>
      </c>
      <c r="B9966" s="4" t="n">
        <v>184101</v>
      </c>
      <c r="C9966" s="4" t="n">
        <v>8335</v>
      </c>
      <c r="D9966" s="4" t="n">
        <v>2521.3375</v>
      </c>
      <c r="E9966" s="5" t="n">
        <v>73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농림지역</t>
        </is>
      </c>
      <c r="I9966" s="3" t="inlineStr">
        <is>
          <t>임야</t>
        </is>
      </c>
      <c r="J9966" s="3" t="inlineStr">
        <is>
          <t>장군면</t>
        </is>
      </c>
    </row>
    <row r="9967">
      <c r="A9967" s="3" t="n">
        <v>2025</v>
      </c>
      <c r="B9967" s="4" t="n">
        <v>2821</v>
      </c>
      <c r="C9967" s="4" t="n">
        <v>499</v>
      </c>
      <c r="D9967" s="4" t="n">
        <v>150.9475</v>
      </c>
      <c r="E9967" s="5" t="n">
        <v>18.7</v>
      </c>
      <c r="F9967" s="3" t="inlineStr">
        <is>
          <t>금남면</t>
        </is>
      </c>
      <c r="G9967" s="3" t="inlineStr">
        <is>
          <t>성강리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금남면</t>
        </is>
      </c>
    </row>
    <row r="9968">
      <c r="A9968" s="3" t="n">
        <v>2025</v>
      </c>
      <c r="B9968" s="4" t="n">
        <v>2300</v>
      </c>
      <c r="C9968" s="4" t="n">
        <v>426</v>
      </c>
      <c r="D9968" s="4" t="n">
        <v>128.865</v>
      </c>
      <c r="E9968" s="5" t="n">
        <v>17.8</v>
      </c>
      <c r="F9968" s="3" t="inlineStr">
        <is>
          <t>금남면</t>
        </is>
      </c>
      <c r="G9968" s="3" t="inlineStr">
        <is>
          <t>성강리</t>
        </is>
      </c>
      <c r="H9968" s="3" t="inlineStr">
        <is>
          <t>생산관리지역</t>
        </is>
      </c>
      <c r="I9968" s="3" t="inlineStr">
        <is>
          <t>전</t>
        </is>
      </c>
      <c r="J9968" s="3" t="inlineStr">
        <is>
          <t>금남면</t>
        </is>
      </c>
    </row>
    <row r="9969">
      <c r="A9969" s="3" t="n">
        <v>2025</v>
      </c>
      <c r="B9969" s="4" t="n">
        <v>5200</v>
      </c>
      <c r="C9969" s="4" t="n">
        <v>963</v>
      </c>
      <c r="D9969" s="4" t="n">
        <v>291.3075</v>
      </c>
      <c r="E9969" s="5" t="n">
        <v>17.9</v>
      </c>
      <c r="F9969" s="3" t="inlineStr">
        <is>
          <t>금남면</t>
        </is>
      </c>
      <c r="G9969" s="3" t="inlineStr">
        <is>
          <t>성강리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금남면</t>
        </is>
      </c>
    </row>
    <row r="9970">
      <c r="A9970" s="3" t="n">
        <v>2025</v>
      </c>
      <c r="B9970" s="4" t="n">
        <v>34408</v>
      </c>
      <c r="C9970" s="4" t="n">
        <v>451</v>
      </c>
      <c r="D9970" s="4" t="n">
        <v>136.4275</v>
      </c>
      <c r="E9970" s="5" t="n">
        <v>252.2</v>
      </c>
      <c r="F9970" s="3" t="inlineStr">
        <is>
          <t>장군면</t>
        </is>
      </c>
      <c r="G9970" s="3" t="inlineStr">
        <is>
          <t>산학리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20500</v>
      </c>
      <c r="C9971" s="4" t="n">
        <v>229</v>
      </c>
      <c r="D9971" s="4" t="n">
        <v>69.27249999999999</v>
      </c>
      <c r="E9971" s="5" t="n">
        <v>295.9</v>
      </c>
      <c r="F9971" s="3" t="inlineStr">
        <is>
          <t>장군면</t>
        </is>
      </c>
      <c r="G9971" s="3" t="inlineStr">
        <is>
          <t>도계리</t>
        </is>
      </c>
      <c r="H9971" s="3" t="inlineStr">
        <is>
          <t>계획관리지역</t>
        </is>
      </c>
      <c r="I9971" s="3" t="inlineStr">
        <is>
          <t>전</t>
        </is>
      </c>
      <c r="J9971" s="3" t="inlineStr">
        <is>
          <t>장군면</t>
        </is>
      </c>
    </row>
    <row r="9972">
      <c r="A9972" s="3" t="n">
        <v>2023</v>
      </c>
      <c r="B9972" s="4" t="n">
        <v>25830</v>
      </c>
      <c r="C9972" s="4" t="n">
        <v>1957</v>
      </c>
      <c r="D9972" s="4" t="n">
        <v>591.9924999999999</v>
      </c>
      <c r="E9972" s="5" t="n">
        <v>43.6</v>
      </c>
      <c r="F9972" s="3" t="inlineStr">
        <is>
          <t>부강면</t>
        </is>
      </c>
      <c r="G9972" s="3" t="inlineStr">
        <is>
          <t>노호리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부강면</t>
        </is>
      </c>
    </row>
    <row r="9973">
      <c r="A9973" s="3" t="n">
        <v>2023</v>
      </c>
      <c r="B9973" s="4" t="n">
        <v>110000</v>
      </c>
      <c r="C9973" s="4" t="n">
        <v>660</v>
      </c>
      <c r="D9973" s="4" t="n">
        <v>199.65</v>
      </c>
      <c r="E9973" s="5" t="n">
        <v>551</v>
      </c>
      <c r="F9973" s="3" t="inlineStr">
        <is>
          <t>부강면</t>
        </is>
      </c>
      <c r="G9973" s="3" t="inlineStr">
        <is>
          <t>금호리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2023</v>
      </c>
      <c r="B9974" s="4" t="n">
        <v>23200</v>
      </c>
      <c r="C9974" s="4" t="n">
        <v>698</v>
      </c>
      <c r="D9974" s="4" t="n">
        <v>211.145</v>
      </c>
      <c r="E9974" s="5" t="n">
        <v>109.9</v>
      </c>
      <c r="F9974" s="3" t="inlineStr">
        <is>
          <t>연동면</t>
        </is>
      </c>
      <c r="G9974" s="3" t="inlineStr">
        <is>
          <t>내판리</t>
        </is>
      </c>
      <c r="H9974" s="3" t="inlineStr">
        <is>
          <t>계획관리지역</t>
        </is>
      </c>
      <c r="I9974" s="3" t="inlineStr">
        <is>
          <t>전</t>
        </is>
      </c>
      <c r="J9974" s="3" t="inlineStr">
        <is>
          <t>연동면</t>
        </is>
      </c>
    </row>
    <row r="9975">
      <c r="A9975" s="3" t="n">
        <v>2023</v>
      </c>
      <c r="B9975" s="4" t="n">
        <v>47000</v>
      </c>
      <c r="C9975" s="4" t="n">
        <v>2076</v>
      </c>
      <c r="D9975" s="4" t="n">
        <v>627.99</v>
      </c>
      <c r="E9975" s="5" t="n">
        <v>74.8</v>
      </c>
      <c r="F9975" s="3" t="inlineStr">
        <is>
          <t>소정면</t>
        </is>
      </c>
      <c r="G9975" s="3" t="inlineStr">
        <is>
          <t>운당리</t>
        </is>
      </c>
      <c r="H9975" s="3" t="inlineStr">
        <is>
          <t>계획관리지역</t>
        </is>
      </c>
      <c r="I9975" s="3" t="inlineStr">
        <is>
          <t>전</t>
        </is>
      </c>
      <c r="J9975" s="3" t="inlineStr">
        <is>
          <t>소정면</t>
        </is>
      </c>
    </row>
    <row r="9976">
      <c r="A9976" s="3" t="n">
        <v>2023</v>
      </c>
      <c r="B9976" s="4" t="n">
        <v>1860</v>
      </c>
      <c r="C9976" s="4" t="n">
        <v>474</v>
      </c>
      <c r="D9976" s="4" t="n">
        <v>143.385</v>
      </c>
      <c r="E9976" s="5" t="n">
        <v>13</v>
      </c>
      <c r="F9976" s="3" t="inlineStr">
        <is>
          <t>연서면</t>
        </is>
      </c>
      <c r="G9976" s="3" t="inlineStr">
        <is>
          <t>고복리</t>
        </is>
      </c>
      <c r="H9976" s="3" t="inlineStr">
        <is>
          <t>자연녹지지역</t>
        </is>
      </c>
      <c r="I9976" s="3" t="inlineStr">
        <is>
          <t>도로</t>
        </is>
      </c>
      <c r="J9976" s="3" t="inlineStr">
        <is>
          <t>연서면</t>
        </is>
      </c>
    </row>
    <row r="9977">
      <c r="A9977" s="3" t="n">
        <v>2023</v>
      </c>
      <c r="B9977" s="4" t="n">
        <v>1524</v>
      </c>
      <c r="C9977" s="4" t="n">
        <v>103</v>
      </c>
      <c r="D9977" s="4" t="n">
        <v>31.1575</v>
      </c>
      <c r="E9977" s="5" t="n">
        <v>48.9</v>
      </c>
      <c r="F9977" s="3" t="inlineStr">
        <is>
          <t>부강면</t>
        </is>
      </c>
      <c r="G9977" s="3" t="inlineStr">
        <is>
          <t>산수리</t>
        </is>
      </c>
      <c r="H9977" s="3" t="inlineStr">
        <is>
          <t>계획관리지역</t>
        </is>
      </c>
      <c r="I9977" s="3" t="inlineStr">
        <is>
          <t>도로</t>
        </is>
      </c>
      <c r="J9977" s="3" t="inlineStr">
        <is>
          <t>부강면</t>
        </is>
      </c>
    </row>
    <row r="9978">
      <c r="A9978" s="3" t="n">
        <v>2023</v>
      </c>
      <c r="B9978" s="4" t="n">
        <v>531</v>
      </c>
      <c r="C9978" s="4" t="n">
        <v>18</v>
      </c>
      <c r="D9978" s="4" t="n">
        <v>5.445</v>
      </c>
      <c r="E9978" s="5" t="n">
        <v>97.5</v>
      </c>
      <c r="F9978" s="3" t="inlineStr">
        <is>
          <t>부강면</t>
        </is>
      </c>
      <c r="G9978" s="3" t="inlineStr">
        <is>
          <t>산수리</t>
        </is>
      </c>
      <c r="H9978" s="3" t="inlineStr">
        <is>
          <t>계획관리지역</t>
        </is>
      </c>
      <c r="I9978" s="3" t="inlineStr">
        <is>
          <t>도로</t>
        </is>
      </c>
      <c r="J9978" s="3" t="inlineStr">
        <is>
          <t>부강면</t>
        </is>
      </c>
    </row>
    <row r="9979">
      <c r="A9979" s="3" t="n">
        <v>2023</v>
      </c>
      <c r="B9979" s="4" t="n">
        <v>7073</v>
      </c>
      <c r="C9979" s="4" t="n">
        <v>385</v>
      </c>
      <c r="D9979" s="4" t="n">
        <v>116.4625</v>
      </c>
      <c r="E9979" s="5" t="n">
        <v>60.7</v>
      </c>
      <c r="F9979" s="3" t="inlineStr">
        <is>
          <t>장군면</t>
        </is>
      </c>
      <c r="G9979" s="3" t="inlineStr">
        <is>
          <t>송문리</t>
        </is>
      </c>
      <c r="H9979" s="3" t="inlineStr">
        <is>
          <t>계획관리지역</t>
        </is>
      </c>
      <c r="I9979" s="3" t="inlineStr">
        <is>
          <t>전</t>
        </is>
      </c>
      <c r="J9979" s="3" t="inlineStr">
        <is>
          <t>장군면</t>
        </is>
      </c>
    </row>
    <row r="9980">
      <c r="A9980" s="3" t="n">
        <v>2023</v>
      </c>
      <c r="B9980" s="4" t="n">
        <v>20500</v>
      </c>
      <c r="C9980" s="4" t="n">
        <v>727</v>
      </c>
      <c r="D9980" s="4" t="n">
        <v>219.9175</v>
      </c>
      <c r="E9980" s="5" t="n">
        <v>93.2</v>
      </c>
      <c r="F9980" s="3" t="inlineStr">
        <is>
          <t>금남면</t>
        </is>
      </c>
      <c r="G9980" s="3" t="inlineStr">
        <is>
          <t>원봉리</t>
        </is>
      </c>
      <c r="H9980" s="3" t="inlineStr">
        <is>
          <t>계획관리지역</t>
        </is>
      </c>
      <c r="I9980" s="3" t="inlineStr">
        <is>
          <t>전</t>
        </is>
      </c>
      <c r="J9980" s="3" t="inlineStr">
        <is>
          <t>금남면</t>
        </is>
      </c>
    </row>
    <row r="9981">
      <c r="A9981" s="3" t="n">
        <v>2023</v>
      </c>
      <c r="B9981" s="4" t="n">
        <v>5700</v>
      </c>
      <c r="C9981" s="4" t="n">
        <v>152</v>
      </c>
      <c r="D9981" s="4" t="n">
        <v>45.98</v>
      </c>
      <c r="E9981" s="5" t="n">
        <v>124</v>
      </c>
      <c r="F9981" s="3" t="inlineStr">
        <is>
          <t>금남면</t>
        </is>
      </c>
      <c r="G9981" s="3" t="inlineStr">
        <is>
          <t>원봉리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금남면</t>
        </is>
      </c>
    </row>
    <row r="9982">
      <c r="A9982" s="3" t="n">
        <v>2023</v>
      </c>
      <c r="B9982" s="4" t="n">
        <v>12900</v>
      </c>
      <c r="C9982" s="4" t="n">
        <v>1764</v>
      </c>
      <c r="D9982" s="4" t="n">
        <v>533.61</v>
      </c>
      <c r="E9982" s="5" t="n">
        <v>24.2</v>
      </c>
      <c r="F9982" s="3" t="inlineStr">
        <is>
          <t>금남면</t>
        </is>
      </c>
      <c r="G9982" s="3" t="inlineStr">
        <is>
          <t>신촌리</t>
        </is>
      </c>
      <c r="H9982" s="3" t="inlineStr">
        <is>
          <t>개발제한구역</t>
        </is>
      </c>
      <c r="I9982" s="3" t="inlineStr">
        <is>
          <t>임야</t>
        </is>
      </c>
      <c r="J9982" s="3" t="inlineStr">
        <is>
          <t>금남면</t>
        </is>
      </c>
    </row>
    <row r="9983">
      <c r="A9983" s="3" t="n">
        <v>2023</v>
      </c>
      <c r="B9983" s="4" t="n">
        <v>86000</v>
      </c>
      <c r="C9983" s="4" t="n">
        <v>3000</v>
      </c>
      <c r="D9983" s="4" t="n">
        <v>907.5</v>
      </c>
      <c r="E9983" s="5" t="n">
        <v>94.8</v>
      </c>
      <c r="F9983" s="3" t="inlineStr">
        <is>
          <t>장군면</t>
        </is>
      </c>
      <c r="G9983" s="3" t="inlineStr">
        <is>
          <t>산학리</t>
        </is>
      </c>
      <c r="H9983" s="3" t="inlineStr">
        <is>
          <t>농림지역</t>
        </is>
      </c>
      <c r="I9983" s="3" t="inlineStr">
        <is>
          <t>답</t>
        </is>
      </c>
      <c r="J9983" s="3" t="inlineStr">
        <is>
          <t>장군면</t>
        </is>
      </c>
    </row>
    <row r="9984">
      <c r="A9984" s="3" t="n">
        <v>2023</v>
      </c>
      <c r="B9984" s="4" t="n">
        <v>10000</v>
      </c>
      <c r="C9984" s="4" t="n">
        <v>512</v>
      </c>
      <c r="D9984" s="4" t="n">
        <v>154.88</v>
      </c>
      <c r="E9984" s="5" t="n">
        <v>64.59999999999999</v>
      </c>
      <c r="F9984" s="3" t="inlineStr">
        <is>
          <t>연서면</t>
        </is>
      </c>
      <c r="G9984" s="3" t="inlineStr">
        <is>
          <t>신대리</t>
        </is>
      </c>
      <c r="H9984" s="3" t="inlineStr">
        <is>
          <t>보전관리지역</t>
        </is>
      </c>
      <c r="I9984" s="3" t="inlineStr">
        <is>
          <t>과수원</t>
        </is>
      </c>
      <c r="J9984" s="3" t="inlineStr">
        <is>
          <t>연서면</t>
        </is>
      </c>
    </row>
    <row r="9985">
      <c r="A9985" s="3" t="n">
        <v>2023</v>
      </c>
      <c r="B9985" s="4" t="n">
        <v>17720</v>
      </c>
      <c r="C9985" s="4" t="n">
        <v>160</v>
      </c>
      <c r="D9985" s="4" t="n">
        <v>48.4</v>
      </c>
      <c r="E9985" s="5" t="n">
        <v>366.1</v>
      </c>
      <c r="F9985" s="3" t="inlineStr">
        <is>
          <t>반곡동</t>
        </is>
      </c>
      <c r="G9985" s="3" t="inlineStr"/>
      <c r="H9985" s="3" t="inlineStr">
        <is>
          <t>제1종전용주거지역</t>
        </is>
      </c>
      <c r="I9985" s="3" t="inlineStr">
        <is>
          <t>대</t>
        </is>
      </c>
      <c r="J9985" s="3" t="inlineStr">
        <is>
          <t>반곡동</t>
        </is>
      </c>
    </row>
    <row r="9986">
      <c r="A9986" s="3" t="n">
        <v>2023</v>
      </c>
      <c r="B9986" s="4" t="n">
        <v>28100</v>
      </c>
      <c r="C9986" s="4" t="n">
        <v>1855</v>
      </c>
      <c r="D9986" s="4" t="n">
        <v>561.1374999999999</v>
      </c>
      <c r="E9986" s="5" t="n">
        <v>50.1</v>
      </c>
      <c r="F9986" s="3" t="inlineStr">
        <is>
          <t>전의면</t>
        </is>
      </c>
      <c r="G9986" s="3" t="inlineStr">
        <is>
          <t>양곡리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전의면</t>
        </is>
      </c>
    </row>
    <row r="9987">
      <c r="A9987" s="3" t="n">
        <v>2023</v>
      </c>
      <c r="B9987" s="4" t="n">
        <v>22000</v>
      </c>
      <c r="C9987" s="4" t="n">
        <v>667</v>
      </c>
      <c r="D9987" s="4" t="n">
        <v>201.7675</v>
      </c>
      <c r="E9987" s="5" t="n">
        <v>109</v>
      </c>
      <c r="F9987" s="3" t="inlineStr">
        <is>
          <t>연동면</t>
        </is>
      </c>
      <c r="G9987" s="3" t="inlineStr">
        <is>
          <t>내판리</t>
        </is>
      </c>
      <c r="H9987" s="3" t="inlineStr">
        <is>
          <t>계획관리지역</t>
        </is>
      </c>
      <c r="I9987" s="3" t="inlineStr">
        <is>
          <t>전</t>
        </is>
      </c>
      <c r="J9987" s="3" t="inlineStr">
        <is>
          <t>연동면</t>
        </is>
      </c>
    </row>
    <row r="9988">
      <c r="A9988" s="3" t="n">
        <v>2023</v>
      </c>
      <c r="B9988" s="4" t="n">
        <v>27000</v>
      </c>
      <c r="C9988" s="4" t="n">
        <v>944</v>
      </c>
      <c r="D9988" s="4" t="n">
        <v>285.56</v>
      </c>
      <c r="E9988" s="5" t="n">
        <v>94.59999999999999</v>
      </c>
      <c r="F9988" s="3" t="inlineStr">
        <is>
          <t>연동면</t>
        </is>
      </c>
      <c r="G9988" s="3" t="inlineStr">
        <is>
          <t>노송리</t>
        </is>
      </c>
      <c r="H9988" s="3" t="inlineStr">
        <is>
          <t>계획관리지역</t>
        </is>
      </c>
      <c r="I9988" s="3" t="inlineStr">
        <is>
          <t>전</t>
        </is>
      </c>
      <c r="J9988" s="3" t="inlineStr">
        <is>
          <t>연동면</t>
        </is>
      </c>
    </row>
    <row r="9989">
      <c r="A9989" s="3" t="n">
        <v>2023</v>
      </c>
      <c r="B9989" s="4" t="n">
        <v>30000</v>
      </c>
      <c r="C9989" s="4" t="n">
        <v>1090</v>
      </c>
      <c r="D9989" s="4" t="n">
        <v>329.725</v>
      </c>
      <c r="E9989" s="5" t="n">
        <v>91</v>
      </c>
      <c r="F9989" s="3" t="inlineStr">
        <is>
          <t>연동면</t>
        </is>
      </c>
      <c r="G9989" s="3" t="inlineStr">
        <is>
          <t>노송리</t>
        </is>
      </c>
      <c r="H9989" s="3" t="inlineStr">
        <is>
          <t>계획관리지역</t>
        </is>
      </c>
      <c r="I9989" s="3" t="inlineStr">
        <is>
          <t>과수원</t>
        </is>
      </c>
      <c r="J9989" s="3" t="inlineStr">
        <is>
          <t>연동면</t>
        </is>
      </c>
    </row>
    <row r="9990">
      <c r="A9990" s="3" t="n">
        <v>2023</v>
      </c>
      <c r="B9990" s="4" t="n">
        <v>21000</v>
      </c>
      <c r="C9990" s="4" t="n">
        <v>1461</v>
      </c>
      <c r="D9990" s="4" t="n">
        <v>441.9525</v>
      </c>
      <c r="E9990" s="5" t="n">
        <v>47.5</v>
      </c>
      <c r="F9990" s="3" t="inlineStr">
        <is>
          <t>전동면</t>
        </is>
      </c>
      <c r="G9990" s="3" t="inlineStr">
        <is>
          <t>송정리</t>
        </is>
      </c>
      <c r="H9990" s="3" t="inlineStr">
        <is>
          <t>생산관리지역</t>
        </is>
      </c>
      <c r="I9990" s="3" t="inlineStr">
        <is>
          <t>답</t>
        </is>
      </c>
      <c r="J9990" s="3" t="inlineStr">
        <is>
          <t>전동면</t>
        </is>
      </c>
    </row>
    <row r="9991">
      <c r="A9991" s="3" t="n">
        <v>2023</v>
      </c>
      <c r="B9991" s="4" t="n">
        <v>62620</v>
      </c>
      <c r="C9991" s="4" t="n">
        <v>414</v>
      </c>
      <c r="D9991" s="4" t="n">
        <v>125.235</v>
      </c>
      <c r="E9991" s="5" t="n">
        <v>500</v>
      </c>
      <c r="F9991" s="3" t="inlineStr">
        <is>
          <t>연서면</t>
        </is>
      </c>
      <c r="G9991" s="3" t="inlineStr">
        <is>
          <t>와촌리</t>
        </is>
      </c>
      <c r="H9991" s="3" t="inlineStr">
        <is>
          <t>계획관리지역</t>
        </is>
      </c>
      <c r="I9991" s="3" t="inlineStr">
        <is>
          <t>과수원</t>
        </is>
      </c>
      <c r="J9991" s="3" t="inlineStr">
        <is>
          <t>연서면</t>
        </is>
      </c>
    </row>
    <row r="9992">
      <c r="A9992" s="3" t="n">
        <v>2023</v>
      </c>
      <c r="B9992" s="4" t="n">
        <v>90000</v>
      </c>
      <c r="C9992" s="4" t="n">
        <v>1892</v>
      </c>
      <c r="D9992" s="4" t="n">
        <v>572.3299999999999</v>
      </c>
      <c r="E9992" s="5" t="n">
        <v>157.3</v>
      </c>
      <c r="F9992" s="3" t="inlineStr">
        <is>
          <t>장군면</t>
        </is>
      </c>
      <c r="G9992" s="3" t="inlineStr">
        <is>
          <t>봉안리</t>
        </is>
      </c>
      <c r="H9992" s="3" t="inlineStr">
        <is>
          <t>농림지역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2023</v>
      </c>
      <c r="B9993" s="4" t="n">
        <v>99750</v>
      </c>
      <c r="C9993" s="4" t="n">
        <v>1913</v>
      </c>
      <c r="D9993" s="4" t="n">
        <v>578.6825</v>
      </c>
      <c r="E9993" s="5" t="n">
        <v>172.4</v>
      </c>
      <c r="F9993" s="3" t="inlineStr">
        <is>
          <t>장군면</t>
        </is>
      </c>
      <c r="G9993" s="3" t="inlineStr">
        <is>
          <t>봉안리</t>
        </is>
      </c>
      <c r="H9993" s="3" t="inlineStr">
        <is>
          <t>농림지역</t>
        </is>
      </c>
      <c r="I9993" s="3" t="inlineStr">
        <is>
          <t>전</t>
        </is>
      </c>
      <c r="J9993" s="3" t="inlineStr">
        <is>
          <t>장군면</t>
        </is>
      </c>
    </row>
    <row r="9994">
      <c r="A9994" s="3" t="n">
        <v>2023</v>
      </c>
      <c r="B9994" s="4" t="n">
        <v>1000</v>
      </c>
      <c r="C9994" s="4" t="n">
        <v>43</v>
      </c>
      <c r="D9994" s="4" t="n">
        <v>13.0075</v>
      </c>
      <c r="E9994" s="5" t="n">
        <v>76.90000000000001</v>
      </c>
      <c r="F9994" s="3" t="inlineStr">
        <is>
          <t>전의면</t>
        </is>
      </c>
      <c r="G9994" s="3" t="inlineStr">
        <is>
          <t>신흥리</t>
        </is>
      </c>
      <c r="H9994" s="3" t="inlineStr">
        <is>
          <t>농림지역</t>
        </is>
      </c>
      <c r="I9994" s="3" t="inlineStr">
        <is>
          <t>답</t>
        </is>
      </c>
      <c r="J9994" s="3" t="inlineStr">
        <is>
          <t>전의면</t>
        </is>
      </c>
    </row>
    <row r="9995">
      <c r="A9995" s="3" t="n">
        <v>2023</v>
      </c>
      <c r="B9995" s="4" t="n">
        <v>23298</v>
      </c>
      <c r="C9995" s="4" t="n">
        <v>995</v>
      </c>
      <c r="D9995" s="4" t="n">
        <v>300.9875</v>
      </c>
      <c r="E9995" s="5" t="n">
        <v>77.40000000000001</v>
      </c>
      <c r="F9995" s="3" t="inlineStr">
        <is>
          <t>전의면</t>
        </is>
      </c>
      <c r="G9995" s="3" t="inlineStr">
        <is>
          <t>신흥리</t>
        </is>
      </c>
      <c r="H9995" s="3" t="inlineStr">
        <is>
          <t>계획관리지역</t>
        </is>
      </c>
      <c r="I9995" s="3" t="inlineStr">
        <is>
          <t>대</t>
        </is>
      </c>
      <c r="J9995" s="3" t="inlineStr">
        <is>
          <t>전의면</t>
        </is>
      </c>
    </row>
    <row r="9996">
      <c r="A9996" s="3" t="n">
        <v>2023</v>
      </c>
      <c r="B9996" s="4" t="n">
        <v>164</v>
      </c>
      <c r="C9996" s="4" t="n">
        <v>7</v>
      </c>
      <c r="D9996" s="4" t="n">
        <v>2.1175</v>
      </c>
      <c r="E9996" s="5" t="n">
        <v>77.40000000000001</v>
      </c>
      <c r="F9996" s="3" t="inlineStr">
        <is>
          <t>전의면</t>
        </is>
      </c>
      <c r="G9996" s="3" t="inlineStr">
        <is>
          <t>신흥리</t>
        </is>
      </c>
      <c r="H9996" s="3" t="inlineStr">
        <is>
          <t>농림지역</t>
        </is>
      </c>
      <c r="I9996" s="3" t="inlineStr">
        <is>
          <t>대</t>
        </is>
      </c>
      <c r="J9996" s="3" t="inlineStr">
        <is>
          <t>전의면</t>
        </is>
      </c>
    </row>
    <row r="9997">
      <c r="A9997" s="3" t="n">
        <v>2023</v>
      </c>
      <c r="B9997" s="4" t="n">
        <v>539</v>
      </c>
      <c r="C9997" s="4" t="n">
        <v>23</v>
      </c>
      <c r="D9997" s="4" t="n">
        <v>6.9575</v>
      </c>
      <c r="E9997" s="5" t="n">
        <v>77.5</v>
      </c>
      <c r="F9997" s="3" t="inlineStr">
        <is>
          <t>전의면</t>
        </is>
      </c>
      <c r="G9997" s="3" t="inlineStr">
        <is>
          <t>신흥리</t>
        </is>
      </c>
      <c r="H9997" s="3" t="inlineStr">
        <is>
          <t>농림지역</t>
        </is>
      </c>
      <c r="I9997" s="3" t="inlineStr">
        <is>
          <t>대</t>
        </is>
      </c>
      <c r="J9997" s="3" t="inlineStr">
        <is>
          <t>전의면</t>
        </is>
      </c>
    </row>
    <row r="9998">
      <c r="A9998" s="3" t="n">
        <v>2023</v>
      </c>
      <c r="B9998" s="4" t="n">
        <v>37300</v>
      </c>
      <c r="C9998" s="4" t="n">
        <v>413</v>
      </c>
      <c r="D9998" s="4" t="n">
        <v>124.9325</v>
      </c>
      <c r="E9998" s="5" t="n">
        <v>298.6</v>
      </c>
      <c r="F9998" s="3" t="inlineStr">
        <is>
          <t>장군면</t>
        </is>
      </c>
      <c r="G9998" s="3" t="inlineStr">
        <is>
          <t>대교리</t>
        </is>
      </c>
      <c r="H9998" s="3" t="inlineStr">
        <is>
          <t>보전관리지역</t>
        </is>
      </c>
      <c r="I9998" s="3" t="inlineStr">
        <is>
          <t>대</t>
        </is>
      </c>
      <c r="J9998" s="3" t="inlineStr">
        <is>
          <t>장군면</t>
        </is>
      </c>
    </row>
    <row r="9999">
      <c r="A9999" s="3" t="n">
        <v>2024</v>
      </c>
      <c r="B9999" s="4" t="n">
        <v>8590</v>
      </c>
      <c r="C9999" s="4" t="n">
        <v>2840</v>
      </c>
      <c r="D9999" s="4" t="n">
        <v>859.1</v>
      </c>
      <c r="E9999" s="5" t="n">
        <v>10</v>
      </c>
      <c r="F9999" s="3" t="inlineStr">
        <is>
          <t>장군면</t>
        </is>
      </c>
      <c r="G9999" s="3" t="inlineStr">
        <is>
          <t>금암리</t>
        </is>
      </c>
      <c r="H9999" s="3" t="inlineStr">
        <is>
          <t>농림지역</t>
        </is>
      </c>
      <c r="I9999" s="3" t="inlineStr">
        <is>
          <t>임야</t>
        </is>
      </c>
      <c r="J9999" s="3" t="inlineStr">
        <is>
          <t>장군면</t>
        </is>
      </c>
    </row>
    <row r="10000">
      <c r="A10000" s="3" t="n">
        <v>2023</v>
      </c>
      <c r="B10000" s="4" t="n">
        <v>9400</v>
      </c>
      <c r="C10000" s="4" t="n">
        <v>2595</v>
      </c>
      <c r="D10000" s="4" t="n">
        <v>784.9875</v>
      </c>
      <c r="E10000" s="5" t="n">
        <v>12</v>
      </c>
      <c r="F10000" s="3" t="inlineStr">
        <is>
          <t>유구읍</t>
        </is>
      </c>
      <c r="G10000" s="3" t="inlineStr">
        <is>
          <t>신영리</t>
        </is>
      </c>
      <c r="H10000" s="3" t="inlineStr">
        <is>
          <t>농림지역</t>
        </is>
      </c>
      <c r="I10000" s="3" t="inlineStr">
        <is>
          <t>답</t>
        </is>
      </c>
      <c r="J10000" s="3" t="inlineStr">
        <is>
          <t>유구읍</t>
        </is>
      </c>
    </row>
    <row r="10001">
      <c r="A10001" s="3" t="n">
        <v>2023</v>
      </c>
      <c r="B10001" s="4" t="n">
        <v>1500</v>
      </c>
      <c r="C10001" s="4" t="n">
        <v>369</v>
      </c>
      <c r="D10001" s="4" t="n">
        <v>111.6225</v>
      </c>
      <c r="E10001" s="5" t="n">
        <v>13.4</v>
      </c>
      <c r="F10001" s="3" t="inlineStr">
        <is>
          <t>유구읍</t>
        </is>
      </c>
      <c r="G10001" s="3" t="inlineStr">
        <is>
          <t>구계리</t>
        </is>
      </c>
      <c r="H10001" s="3" t="inlineStr">
        <is>
          <t>계획관리지역</t>
        </is>
      </c>
      <c r="I10001" s="3" t="inlineStr">
        <is>
          <t>답</t>
        </is>
      </c>
      <c r="J10001" s="3" t="inlineStr">
        <is>
          <t>유구읍</t>
        </is>
      </c>
    </row>
    <row r="10002">
      <c r="A10002" s="3" t="n">
        <v>2023</v>
      </c>
      <c r="B10002" s="4" t="n">
        <v>9200</v>
      </c>
      <c r="C10002" s="4" t="n">
        <v>1001</v>
      </c>
      <c r="D10002" s="4" t="n">
        <v>302.8025</v>
      </c>
      <c r="E10002" s="5" t="n">
        <v>30.4</v>
      </c>
      <c r="F10002" s="3" t="inlineStr">
        <is>
          <t>유구읍</t>
        </is>
      </c>
      <c r="G10002" s="3" t="inlineStr">
        <is>
          <t>구계리</t>
        </is>
      </c>
      <c r="H10002" s="3" t="inlineStr">
        <is>
          <t>계획관리지역</t>
        </is>
      </c>
      <c r="I10002" s="3" t="inlineStr">
        <is>
          <t>전</t>
        </is>
      </c>
      <c r="J10002" s="3" t="inlineStr">
        <is>
          <t>유구읍</t>
        </is>
      </c>
    </row>
    <row r="10003">
      <c r="A10003" s="3" t="n">
        <v>2023</v>
      </c>
      <c r="B10003" s="4" t="n">
        <v>8800</v>
      </c>
      <c r="C10003" s="4" t="n">
        <v>467</v>
      </c>
      <c r="D10003" s="4" t="n">
        <v>141.2675</v>
      </c>
      <c r="E10003" s="5" t="n">
        <v>62.3</v>
      </c>
      <c r="F10003" s="3" t="inlineStr">
        <is>
          <t>유구읍</t>
        </is>
      </c>
      <c r="G10003" s="3" t="inlineStr">
        <is>
          <t>구계리</t>
        </is>
      </c>
      <c r="H10003" s="3" t="inlineStr">
        <is>
          <t>계획관리지역</t>
        </is>
      </c>
      <c r="I10003" s="3" t="inlineStr">
        <is>
          <t>대</t>
        </is>
      </c>
      <c r="J10003" s="3" t="inlineStr">
        <is>
          <t>유구읍</t>
        </is>
      </c>
    </row>
    <row r="10004">
      <c r="A10004" s="3" t="n">
        <v>2023</v>
      </c>
      <c r="B10004" s="4" t="n">
        <v>2400</v>
      </c>
      <c r="C10004" s="4" t="n">
        <v>1299</v>
      </c>
      <c r="D10004" s="4" t="n">
        <v>392.9475</v>
      </c>
      <c r="E10004" s="5" t="n">
        <v>6.1</v>
      </c>
      <c r="F10004" s="3" t="inlineStr">
        <is>
          <t>유구읍</t>
        </is>
      </c>
      <c r="G10004" s="3" t="inlineStr">
        <is>
          <t>노동리</t>
        </is>
      </c>
      <c r="H10004" s="3" t="inlineStr">
        <is>
          <t>계획관리지역</t>
        </is>
      </c>
      <c r="I10004" s="3" t="inlineStr">
        <is>
          <t>답</t>
        </is>
      </c>
      <c r="J10004" s="3" t="inlineStr">
        <is>
          <t>유구읍</t>
        </is>
      </c>
    </row>
    <row r="10005">
      <c r="A10005" s="3" t="n">
        <v>2023</v>
      </c>
      <c r="B10005" s="4" t="n">
        <v>3800</v>
      </c>
      <c r="C10005" s="4" t="n">
        <v>1137</v>
      </c>
      <c r="D10005" s="4" t="n">
        <v>343.9425</v>
      </c>
      <c r="E10005" s="5" t="n">
        <v>11</v>
      </c>
      <c r="F10005" s="3" t="inlineStr">
        <is>
          <t>유구읍</t>
        </is>
      </c>
      <c r="G10005" s="3" t="inlineStr">
        <is>
          <t>신영리</t>
        </is>
      </c>
      <c r="H10005" s="3" t="inlineStr">
        <is>
          <t>보전관리지역</t>
        </is>
      </c>
      <c r="I10005" s="3" t="inlineStr">
        <is>
          <t>전</t>
        </is>
      </c>
      <c r="J10005" s="3" t="inlineStr">
        <is>
          <t>유구읍</t>
        </is>
      </c>
    </row>
    <row r="10006">
      <c r="A10006" s="3" t="n">
        <v>2023</v>
      </c>
      <c r="B10006" s="4" t="n">
        <v>3500</v>
      </c>
      <c r="C10006" s="4" t="n">
        <v>387</v>
      </c>
      <c r="D10006" s="4" t="n">
        <v>117.0675</v>
      </c>
      <c r="E10006" s="5" t="n">
        <v>29.9</v>
      </c>
      <c r="F10006" s="3" t="inlineStr">
        <is>
          <t>유구읍</t>
        </is>
      </c>
      <c r="G10006" s="3" t="inlineStr">
        <is>
          <t>문금리</t>
        </is>
      </c>
      <c r="H10006" s="3" t="inlineStr">
        <is>
          <t>계획관리지역</t>
        </is>
      </c>
      <c r="I10006" s="3" t="inlineStr">
        <is>
          <t>대</t>
        </is>
      </c>
      <c r="J10006" s="3" t="inlineStr">
        <is>
          <t>유구읍</t>
        </is>
      </c>
    </row>
    <row r="10007">
      <c r="A10007" s="3" t="n">
        <v>2023</v>
      </c>
      <c r="B10007" s="4" t="n">
        <v>13000</v>
      </c>
      <c r="C10007" s="4" t="n">
        <v>3521</v>
      </c>
      <c r="D10007" s="4" t="n">
        <v>1065.1025</v>
      </c>
      <c r="E10007" s="5" t="n">
        <v>12.2</v>
      </c>
      <c r="F10007" s="3" t="inlineStr">
        <is>
          <t>유구읍</t>
        </is>
      </c>
      <c r="G10007" s="3" t="inlineStr">
        <is>
          <t>신영리</t>
        </is>
      </c>
      <c r="H10007" s="3" t="inlineStr">
        <is>
          <t>보전관리지역</t>
        </is>
      </c>
      <c r="I10007" s="3" t="inlineStr">
        <is>
          <t>답</t>
        </is>
      </c>
      <c r="J10007" s="3" t="inlineStr">
        <is>
          <t>유구읍</t>
        </is>
      </c>
    </row>
    <row r="10008">
      <c r="A10008" s="3" t="n">
        <v>2023</v>
      </c>
      <c r="B10008" s="4" t="n">
        <v>2000</v>
      </c>
      <c r="C10008" s="4" t="n">
        <v>516</v>
      </c>
      <c r="D10008" s="4" t="n">
        <v>156.09</v>
      </c>
      <c r="E10008" s="5" t="n">
        <v>12.8</v>
      </c>
      <c r="F10008" s="3" t="inlineStr">
        <is>
          <t>유구읍</t>
        </is>
      </c>
      <c r="G10008" s="3" t="inlineStr">
        <is>
          <t>신영리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유구읍</t>
        </is>
      </c>
    </row>
    <row r="10009">
      <c r="A10009" s="3" t="n">
        <v>2023</v>
      </c>
      <c r="B10009" s="4" t="n">
        <v>2800</v>
      </c>
      <c r="C10009" s="4" t="n">
        <v>424</v>
      </c>
      <c r="D10009" s="4" t="n">
        <v>128.26</v>
      </c>
      <c r="E10009" s="5" t="n">
        <v>21.8</v>
      </c>
      <c r="F10009" s="3" t="inlineStr">
        <is>
          <t>유구읍</t>
        </is>
      </c>
      <c r="G10009" s="3" t="inlineStr">
        <is>
          <t>백교리</t>
        </is>
      </c>
      <c r="H10009" s="3" t="inlineStr">
        <is>
          <t>계획관리지역</t>
        </is>
      </c>
      <c r="I10009" s="3" t="inlineStr">
        <is>
          <t>임야</t>
        </is>
      </c>
      <c r="J10009" s="3" t="inlineStr">
        <is>
          <t>유구읍</t>
        </is>
      </c>
    </row>
    <row r="10010">
      <c r="A10010" s="3" t="n">
        <v>2023</v>
      </c>
      <c r="B10010" s="4" t="n">
        <v>3087</v>
      </c>
      <c r="C10010" s="4" t="n">
        <v>1134</v>
      </c>
      <c r="D10010" s="4" t="n">
        <v>343.035</v>
      </c>
      <c r="E10010" s="5" t="n">
        <v>9</v>
      </c>
      <c r="F10010" s="3" t="inlineStr">
        <is>
          <t>유구읍</t>
        </is>
      </c>
      <c r="G10010" s="3" t="inlineStr">
        <is>
          <t>명곡리</t>
        </is>
      </c>
      <c r="H10010" s="3" t="inlineStr">
        <is>
          <t>보전관리지역</t>
        </is>
      </c>
      <c r="I10010" s="3" t="inlineStr">
        <is>
          <t>전</t>
        </is>
      </c>
      <c r="J10010" s="3" t="inlineStr">
        <is>
          <t>유구읍</t>
        </is>
      </c>
    </row>
    <row r="10011">
      <c r="A10011" s="3" t="n">
        <v>2023</v>
      </c>
      <c r="B10011" s="4" t="n">
        <v>4380</v>
      </c>
      <c r="C10011" s="4" t="n">
        <v>1207</v>
      </c>
      <c r="D10011" s="4" t="n">
        <v>365.1175</v>
      </c>
      <c r="E10011" s="5" t="n">
        <v>12</v>
      </c>
      <c r="F10011" s="3" t="inlineStr">
        <is>
          <t>유구읍</t>
        </is>
      </c>
      <c r="G10011" s="3" t="inlineStr">
        <is>
          <t>구계리</t>
        </is>
      </c>
      <c r="H10011" s="3" t="inlineStr">
        <is>
          <t>계획관리지역</t>
        </is>
      </c>
      <c r="I10011" s="3" t="inlineStr">
        <is>
          <t>전</t>
        </is>
      </c>
      <c r="J10011" s="3" t="inlineStr">
        <is>
          <t>유구읍</t>
        </is>
      </c>
    </row>
    <row r="10012">
      <c r="A10012" s="3" t="n">
        <v>2023</v>
      </c>
      <c r="B10012" s="4" t="n">
        <v>1300</v>
      </c>
      <c r="C10012" s="4" t="n">
        <v>269</v>
      </c>
      <c r="D10012" s="4" t="n">
        <v>81.3725</v>
      </c>
      <c r="E10012" s="5" t="n">
        <v>16</v>
      </c>
      <c r="F10012" s="3" t="inlineStr">
        <is>
          <t>유구읍</t>
        </is>
      </c>
      <c r="G10012" s="3" t="inlineStr">
        <is>
          <t>명곡리</t>
        </is>
      </c>
      <c r="H10012" s="3" t="inlineStr">
        <is>
          <t>계획관리지역</t>
        </is>
      </c>
      <c r="I10012" s="3" t="inlineStr">
        <is>
          <t>전</t>
        </is>
      </c>
      <c r="J10012" s="3" t="inlineStr">
        <is>
          <t>유구읍</t>
        </is>
      </c>
    </row>
    <row r="10013">
      <c r="A10013" s="3" t="n">
        <v>2023</v>
      </c>
      <c r="B10013" s="4" t="n">
        <v>5500</v>
      </c>
      <c r="C10013" s="4" t="n">
        <v>1038</v>
      </c>
      <c r="D10013" s="4" t="n">
        <v>313.995</v>
      </c>
      <c r="E10013" s="5" t="n">
        <v>17.5</v>
      </c>
      <c r="F10013" s="3" t="inlineStr">
        <is>
          <t>유구읍</t>
        </is>
      </c>
      <c r="G10013" s="3" t="inlineStr">
        <is>
          <t>탑곡리</t>
        </is>
      </c>
      <c r="H10013" s="3" t="inlineStr">
        <is>
          <t>계획관리지역</t>
        </is>
      </c>
      <c r="I10013" s="3" t="inlineStr">
        <is>
          <t>전</t>
        </is>
      </c>
      <c r="J10013" s="3" t="inlineStr">
        <is>
          <t>유구읍</t>
        </is>
      </c>
    </row>
    <row r="10014">
      <c r="A10014" s="3" t="n">
        <v>2023</v>
      </c>
      <c r="B10014" s="4" t="n">
        <v>5000</v>
      </c>
      <c r="C10014" s="4" t="n">
        <v>826</v>
      </c>
      <c r="D10014" s="4" t="n">
        <v>249.865</v>
      </c>
      <c r="E10014" s="5" t="n">
        <v>20</v>
      </c>
      <c r="F10014" s="3" t="inlineStr">
        <is>
          <t>유구읍</t>
        </is>
      </c>
      <c r="G10014" s="3" t="inlineStr">
        <is>
          <t>명곡리</t>
        </is>
      </c>
      <c r="H10014" s="3" t="inlineStr">
        <is>
          <t>계획관리지역</t>
        </is>
      </c>
      <c r="I10014" s="3" t="inlineStr">
        <is>
          <t>대</t>
        </is>
      </c>
      <c r="J10014" s="3" t="inlineStr">
        <is>
          <t>유구읍</t>
        </is>
      </c>
    </row>
    <row r="10015">
      <c r="A10015" s="3" t="n">
        <v>2023</v>
      </c>
      <c r="B10015" s="4" t="n">
        <v>4600</v>
      </c>
      <c r="C10015" s="4" t="n">
        <v>2169</v>
      </c>
      <c r="D10015" s="4" t="n">
        <v>656.1224999999999</v>
      </c>
      <c r="E10015" s="5" t="n">
        <v>7</v>
      </c>
      <c r="F10015" s="3" t="inlineStr">
        <is>
          <t>유구읍</t>
        </is>
      </c>
      <c r="G10015" s="3" t="inlineStr">
        <is>
          <t>노동리</t>
        </is>
      </c>
      <c r="H10015" s="3" t="inlineStr">
        <is>
          <t>계획관리지역</t>
        </is>
      </c>
      <c r="I10015" s="3" t="inlineStr">
        <is>
          <t>전</t>
        </is>
      </c>
      <c r="J10015" s="3" t="inlineStr">
        <is>
          <t>유구읍</t>
        </is>
      </c>
    </row>
    <row r="10016">
      <c r="A10016" s="3" t="n">
        <v>2023</v>
      </c>
      <c r="B10016" s="4" t="n">
        <v>10355</v>
      </c>
      <c r="C10016" s="4" t="n">
        <v>1802</v>
      </c>
      <c r="D10016" s="4" t="n">
        <v>545.105</v>
      </c>
      <c r="E10016" s="5" t="n">
        <v>19</v>
      </c>
      <c r="F10016" s="3" t="inlineStr">
        <is>
          <t>유구읍</t>
        </is>
      </c>
      <c r="G10016" s="3" t="inlineStr">
        <is>
          <t>명곡리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유구읍</t>
        </is>
      </c>
    </row>
    <row r="10017">
      <c r="A10017" s="3" t="n">
        <v>2023</v>
      </c>
      <c r="B10017" s="4" t="n">
        <v>4945</v>
      </c>
      <c r="C10017" s="4" t="n">
        <v>867</v>
      </c>
      <c r="D10017" s="4" t="n">
        <v>262.2675</v>
      </c>
      <c r="E10017" s="5" t="n">
        <v>18.9</v>
      </c>
      <c r="F10017" s="3" t="inlineStr">
        <is>
          <t>유구읍</t>
        </is>
      </c>
      <c r="G10017" s="3" t="inlineStr">
        <is>
          <t>명곡리</t>
        </is>
      </c>
      <c r="H10017" s="3" t="inlineStr">
        <is>
          <t>계획관리지역</t>
        </is>
      </c>
      <c r="I10017" s="3" t="inlineStr">
        <is>
          <t>전</t>
        </is>
      </c>
      <c r="J10017" s="3" t="inlineStr">
        <is>
          <t>유구읍</t>
        </is>
      </c>
    </row>
    <row r="10018">
      <c r="A10018" s="3" t="n">
        <v>2023</v>
      </c>
      <c r="B10018" s="4" t="n">
        <v>4000</v>
      </c>
      <c r="C10018" s="4" t="n">
        <v>1660</v>
      </c>
      <c r="D10018" s="4" t="n">
        <v>502.15</v>
      </c>
      <c r="E10018" s="5" t="n">
        <v>8</v>
      </c>
      <c r="F10018" s="3" t="inlineStr">
        <is>
          <t>유구읍</t>
        </is>
      </c>
      <c r="G10018" s="3" t="inlineStr">
        <is>
          <t>녹천리</t>
        </is>
      </c>
      <c r="H10018" s="3" t="inlineStr">
        <is>
          <t>계획관리지역</t>
        </is>
      </c>
      <c r="I10018" s="3" t="inlineStr">
        <is>
          <t>전</t>
        </is>
      </c>
      <c r="J10018" s="3" t="inlineStr">
        <is>
          <t>유구읍</t>
        </is>
      </c>
    </row>
    <row r="10019">
      <c r="A10019" s="3" t="n">
        <v>2023</v>
      </c>
      <c r="B10019" s="4" t="n">
        <v>1500</v>
      </c>
      <c r="C10019" s="4" t="n">
        <v>436</v>
      </c>
      <c r="D10019" s="4" t="n">
        <v>131.89</v>
      </c>
      <c r="E10019" s="5" t="n">
        <v>11.4</v>
      </c>
      <c r="F10019" s="3" t="inlineStr">
        <is>
          <t>유구읍</t>
        </is>
      </c>
      <c r="G10019" s="3" t="inlineStr">
        <is>
          <t>녹천리</t>
        </is>
      </c>
      <c r="H10019" s="3" t="inlineStr">
        <is>
          <t>계획관리지역</t>
        </is>
      </c>
      <c r="I10019" s="3" t="inlineStr">
        <is>
          <t>임야</t>
        </is>
      </c>
      <c r="J10019" s="3" t="inlineStr">
        <is>
          <t>유구읍</t>
        </is>
      </c>
    </row>
    <row r="10020">
      <c r="A10020" s="3" t="n">
        <v>2023</v>
      </c>
      <c r="B10020" s="4" t="n">
        <v>40043</v>
      </c>
      <c r="C10020" s="4" t="n">
        <v>99669</v>
      </c>
      <c r="D10020" s="4" t="n">
        <v>30149.8725</v>
      </c>
      <c r="E10020" s="5" t="n">
        <v>1.3</v>
      </c>
      <c r="F10020" s="3" t="inlineStr">
        <is>
          <t>유구읍</t>
        </is>
      </c>
      <c r="G10020" s="3" t="inlineStr">
        <is>
          <t>백교리</t>
        </is>
      </c>
      <c r="H10020" s="3" t="inlineStr">
        <is>
          <t>농림지역</t>
        </is>
      </c>
      <c r="I10020" s="3" t="inlineStr">
        <is>
          <t>임야</t>
        </is>
      </c>
      <c r="J10020" s="3" t="inlineStr">
        <is>
          <t>유구읍</t>
        </is>
      </c>
    </row>
    <row r="10021">
      <c r="A10021" s="3" t="n">
        <v>2023</v>
      </c>
      <c r="B10021" s="4" t="n">
        <v>6975</v>
      </c>
      <c r="C10021" s="4" t="n">
        <v>1488</v>
      </c>
      <c r="D10021" s="4" t="n">
        <v>450.12</v>
      </c>
      <c r="E10021" s="5" t="n">
        <v>15.5</v>
      </c>
      <c r="F10021" s="3" t="inlineStr">
        <is>
          <t>유구읍</t>
        </is>
      </c>
      <c r="G10021" s="3" t="inlineStr">
        <is>
          <t>덕곡리</t>
        </is>
      </c>
      <c r="H10021" s="3" t="inlineStr">
        <is>
          <t>계획관리지역</t>
        </is>
      </c>
      <c r="I10021" s="3" t="inlineStr">
        <is>
          <t>전</t>
        </is>
      </c>
      <c r="J10021" s="3" t="inlineStr">
        <is>
          <t>유구읍</t>
        </is>
      </c>
    </row>
    <row r="10022">
      <c r="A10022" s="3" t="n">
        <v>2024</v>
      </c>
      <c r="B10022" s="4" t="n">
        <v>420</v>
      </c>
      <c r="C10022" s="4" t="n">
        <v>94</v>
      </c>
      <c r="D10022" s="4" t="n">
        <v>28.435</v>
      </c>
      <c r="E10022" s="5" t="n">
        <v>14.8</v>
      </c>
      <c r="F10022" s="3" t="inlineStr">
        <is>
          <t>유구읍</t>
        </is>
      </c>
      <c r="G10022" s="3" t="inlineStr">
        <is>
          <t>만천리</t>
        </is>
      </c>
      <c r="H10022" s="3" t="inlineStr">
        <is>
          <t>기타</t>
        </is>
      </c>
      <c r="I10022" s="3" t="inlineStr">
        <is>
          <t>답</t>
        </is>
      </c>
      <c r="J10022" s="3" t="inlineStr">
        <is>
          <t>유구읍</t>
        </is>
      </c>
    </row>
    <row r="10023">
      <c r="A10023" s="3" t="n">
        <v>2024</v>
      </c>
      <c r="B10023" s="4" t="n">
        <v>20</v>
      </c>
      <c r="C10023" s="4" t="n">
        <v>10</v>
      </c>
      <c r="D10023" s="4" t="n">
        <v>3.025</v>
      </c>
      <c r="E10023" s="5" t="n">
        <v>6.6</v>
      </c>
      <c r="F10023" s="3" t="inlineStr">
        <is>
          <t>유구읍</t>
        </is>
      </c>
      <c r="G10023" s="3" t="inlineStr">
        <is>
          <t>녹천리</t>
        </is>
      </c>
      <c r="H10023" s="3" t="inlineStr">
        <is>
          <t>계획관리지역</t>
        </is>
      </c>
      <c r="I10023" s="3" t="inlineStr">
        <is>
          <t>도로</t>
        </is>
      </c>
      <c r="J10023" s="3" t="inlineStr">
        <is>
          <t>유구읍</t>
        </is>
      </c>
    </row>
    <row r="10024">
      <c r="A10024" s="3" t="n">
        <v>2024</v>
      </c>
      <c r="B10024" s="4" t="n">
        <v>70</v>
      </c>
      <c r="C10024" s="4" t="n">
        <v>44</v>
      </c>
      <c r="D10024" s="4" t="n">
        <v>13.31</v>
      </c>
      <c r="E10024" s="5" t="n">
        <v>5.3</v>
      </c>
      <c r="F10024" s="3" t="inlineStr">
        <is>
          <t>유구읍</t>
        </is>
      </c>
      <c r="G10024" s="3" t="inlineStr">
        <is>
          <t>녹천리</t>
        </is>
      </c>
      <c r="H10024" s="3" t="inlineStr">
        <is>
          <t>계획관리지역</t>
        </is>
      </c>
      <c r="I10024" s="3" t="inlineStr">
        <is>
          <t>도로</t>
        </is>
      </c>
      <c r="J10024" s="3" t="inlineStr">
        <is>
          <t>유구읍</t>
        </is>
      </c>
    </row>
    <row r="10025">
      <c r="A10025" s="3" t="n">
        <v>2024</v>
      </c>
      <c r="B10025" s="4" t="n">
        <v>3500</v>
      </c>
      <c r="C10025" s="4" t="n">
        <v>380</v>
      </c>
      <c r="D10025" s="4" t="n">
        <v>114.95</v>
      </c>
      <c r="E10025" s="5" t="n">
        <v>30.4</v>
      </c>
      <c r="F10025" s="3" t="inlineStr">
        <is>
          <t>유구읍</t>
        </is>
      </c>
      <c r="G10025" s="3" t="inlineStr">
        <is>
          <t>녹천리</t>
        </is>
      </c>
      <c r="H10025" s="3" t="inlineStr">
        <is>
          <t>자연녹지지역</t>
        </is>
      </c>
      <c r="I10025" s="3" t="inlineStr">
        <is>
          <t>대</t>
        </is>
      </c>
      <c r="J10025" s="3" t="inlineStr">
        <is>
          <t>유구읍</t>
        </is>
      </c>
    </row>
    <row r="10026">
      <c r="A10026" s="3" t="n">
        <v>2024</v>
      </c>
      <c r="B10026" s="4" t="n">
        <v>13600</v>
      </c>
      <c r="C10026" s="4" t="n">
        <v>1283</v>
      </c>
      <c r="D10026" s="4" t="n">
        <v>388.1075</v>
      </c>
      <c r="E10026" s="5" t="n">
        <v>35</v>
      </c>
      <c r="F10026" s="3" t="inlineStr">
        <is>
          <t>유구읍</t>
        </is>
      </c>
      <c r="G10026" s="3" t="inlineStr">
        <is>
          <t>추계리</t>
        </is>
      </c>
      <c r="H10026" s="3" t="inlineStr">
        <is>
          <t>보전관리지역</t>
        </is>
      </c>
      <c r="I10026" s="3" t="inlineStr">
        <is>
          <t>답</t>
        </is>
      </c>
      <c r="J10026" s="3" t="inlineStr">
        <is>
          <t>유구읍</t>
        </is>
      </c>
    </row>
    <row r="10027">
      <c r="A10027" s="3" t="n">
        <v>2024</v>
      </c>
      <c r="B10027" s="4" t="n">
        <v>51881</v>
      </c>
      <c r="C10027" s="4" t="n">
        <v>207524</v>
      </c>
      <c r="D10027" s="4" t="n">
        <v>62776.00999999999</v>
      </c>
      <c r="E10027" s="5" t="n">
        <v>0.8</v>
      </c>
      <c r="F10027" s="3" t="inlineStr">
        <is>
          <t>유구읍</t>
        </is>
      </c>
      <c r="G10027" s="3" t="inlineStr">
        <is>
          <t>추계리</t>
        </is>
      </c>
      <c r="H10027" s="3" t="inlineStr">
        <is>
          <t>농림지역</t>
        </is>
      </c>
      <c r="I10027" s="3" t="inlineStr">
        <is>
          <t>임야</t>
        </is>
      </c>
      <c r="J10027" s="3" t="inlineStr">
        <is>
          <t>유구읍</t>
        </is>
      </c>
    </row>
    <row r="10028">
      <c r="A10028" s="3" t="n">
        <v>2024</v>
      </c>
      <c r="B10028" s="4" t="n">
        <v>200</v>
      </c>
      <c r="C10028" s="4" t="n">
        <v>60</v>
      </c>
      <c r="D10028" s="4" t="n">
        <v>18.15</v>
      </c>
      <c r="E10028" s="5" t="n">
        <v>11</v>
      </c>
      <c r="F10028" s="3" t="inlineStr">
        <is>
          <t>유구읍</t>
        </is>
      </c>
      <c r="G10028" s="3" t="inlineStr">
        <is>
          <t>덕곡리</t>
        </is>
      </c>
      <c r="H10028" s="3" t="inlineStr">
        <is>
          <t>기타</t>
        </is>
      </c>
      <c r="I10028" s="3" t="inlineStr">
        <is>
          <t>대</t>
        </is>
      </c>
      <c r="J10028" s="3" t="inlineStr">
        <is>
          <t>유구읍</t>
        </is>
      </c>
    </row>
    <row r="10029">
      <c r="A10029" s="3" t="n">
        <v>2024</v>
      </c>
      <c r="B10029" s="4" t="n">
        <v>500</v>
      </c>
      <c r="C10029" s="4" t="n">
        <v>169</v>
      </c>
      <c r="D10029" s="4" t="n">
        <v>51.1225</v>
      </c>
      <c r="E10029" s="5" t="n">
        <v>9.800000000000001</v>
      </c>
      <c r="F10029" s="3" t="inlineStr">
        <is>
          <t>유구읍</t>
        </is>
      </c>
      <c r="G10029" s="3" t="inlineStr">
        <is>
          <t>노동리</t>
        </is>
      </c>
      <c r="H10029" s="3" t="inlineStr">
        <is>
          <t>계획관리지역</t>
        </is>
      </c>
      <c r="I10029" s="3" t="inlineStr">
        <is>
          <t>답</t>
        </is>
      </c>
      <c r="J10029" s="3" t="inlineStr">
        <is>
          <t>유구읍</t>
        </is>
      </c>
    </row>
    <row r="10030">
      <c r="A10030" s="3" t="n">
        <v>2024</v>
      </c>
      <c r="B10030" s="4" t="n">
        <v>3824</v>
      </c>
      <c r="C10030" s="4" t="n">
        <v>691</v>
      </c>
      <c r="D10030" s="4" t="n">
        <v>209.0275</v>
      </c>
      <c r="E10030" s="5" t="n">
        <v>18.3</v>
      </c>
      <c r="F10030" s="3" t="inlineStr">
        <is>
          <t>유구읍</t>
        </is>
      </c>
      <c r="G10030" s="3" t="inlineStr">
        <is>
          <t>명곡리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유구읍</t>
        </is>
      </c>
    </row>
    <row r="10031">
      <c r="A10031" s="3" t="n">
        <v>2024</v>
      </c>
      <c r="B10031" s="4" t="n">
        <v>3016</v>
      </c>
      <c r="C10031" s="4" t="n">
        <v>545</v>
      </c>
      <c r="D10031" s="4" t="n">
        <v>164.8625</v>
      </c>
      <c r="E10031" s="5" t="n">
        <v>18.3</v>
      </c>
      <c r="F10031" s="3" t="inlineStr">
        <is>
          <t>유구읍</t>
        </is>
      </c>
      <c r="G10031" s="3" t="inlineStr">
        <is>
          <t>명곡리</t>
        </is>
      </c>
      <c r="H10031" s="3" t="inlineStr">
        <is>
          <t>계획관리지역</t>
        </is>
      </c>
      <c r="I10031" s="3" t="inlineStr">
        <is>
          <t>답</t>
        </is>
      </c>
      <c r="J10031" s="3" t="inlineStr">
        <is>
          <t>유구읍</t>
        </is>
      </c>
    </row>
    <row r="10032">
      <c r="A10032" s="3" t="n">
        <v>2024</v>
      </c>
      <c r="B10032" s="4" t="n">
        <v>6000</v>
      </c>
      <c r="C10032" s="4" t="n">
        <v>662</v>
      </c>
      <c r="D10032" s="4" t="n">
        <v>200.255</v>
      </c>
      <c r="E10032" s="5" t="n">
        <v>30</v>
      </c>
      <c r="F10032" s="3" t="inlineStr">
        <is>
          <t>유구읍</t>
        </is>
      </c>
      <c r="G10032" s="3" t="inlineStr">
        <is>
          <t>명곡리</t>
        </is>
      </c>
      <c r="H10032" s="3" t="inlineStr">
        <is>
          <t>일반상업지역</t>
        </is>
      </c>
      <c r="I10032" s="3" t="inlineStr">
        <is>
          <t>전</t>
        </is>
      </c>
      <c r="J10032" s="3" t="inlineStr">
        <is>
          <t>유구읍</t>
        </is>
      </c>
    </row>
    <row r="10033">
      <c r="A10033" s="3" t="n">
        <v>2024</v>
      </c>
      <c r="B10033" s="4" t="n">
        <v>180</v>
      </c>
      <c r="C10033" s="4" t="n">
        <v>99</v>
      </c>
      <c r="D10033" s="4" t="n">
        <v>29.9475</v>
      </c>
      <c r="E10033" s="5" t="n">
        <v>6</v>
      </c>
      <c r="F10033" s="3" t="inlineStr">
        <is>
          <t>유구읍</t>
        </is>
      </c>
      <c r="G10033" s="3" t="inlineStr">
        <is>
          <t>만천리</t>
        </is>
      </c>
      <c r="H10033" s="3" t="inlineStr">
        <is>
          <t>농림지역</t>
        </is>
      </c>
      <c r="I10033" s="3" t="inlineStr">
        <is>
          <t>임야</t>
        </is>
      </c>
      <c r="J10033" s="3" t="inlineStr">
        <is>
          <t>유구읍</t>
        </is>
      </c>
    </row>
    <row r="10034">
      <c r="A10034" s="3" t="n">
        <v>2026</v>
      </c>
      <c r="B10034" s="4" t="n">
        <v>792000</v>
      </c>
      <c r="C10034" s="4" t="n">
        <v>13884</v>
      </c>
      <c r="D10034" s="4" t="n">
        <v>4199.91</v>
      </c>
      <c r="E10034" s="5" t="n">
        <v>188.6</v>
      </c>
      <c r="F10034" s="3" t="inlineStr">
        <is>
          <t>전동면</t>
        </is>
      </c>
      <c r="G10034" s="3" t="inlineStr">
        <is>
          <t>심중리</t>
        </is>
      </c>
      <c r="H10034" s="3" t="inlineStr">
        <is>
          <t>일반공업지역</t>
        </is>
      </c>
      <c r="I10034" s="3" t="inlineStr">
        <is>
          <t>공장용지</t>
        </is>
      </c>
      <c r="J10034" s="3" t="inlineStr">
        <is>
          <t>전동면</t>
        </is>
      </c>
    </row>
    <row r="10035">
      <c r="A10035" s="3" t="n">
        <v>2026</v>
      </c>
      <c r="B10035" s="4" t="n">
        <v>62000</v>
      </c>
      <c r="C10035" s="4" t="n">
        <v>441</v>
      </c>
      <c r="D10035" s="4" t="n">
        <v>133.4025</v>
      </c>
      <c r="E10035" s="5" t="n">
        <v>464.8</v>
      </c>
      <c r="F10035" s="3" t="inlineStr">
        <is>
          <t>고운동</t>
        </is>
      </c>
      <c r="G10035" s="3" t="inlineStr"/>
      <c r="H10035" s="3" t="inlineStr">
        <is>
          <t>제1종전용주거지역</t>
        </is>
      </c>
      <c r="I10035" s="3" t="inlineStr">
        <is>
          <t>대</t>
        </is>
      </c>
      <c r="J10035" s="3" t="inlineStr">
        <is>
          <t>고운동</t>
        </is>
      </c>
    </row>
    <row r="10036">
      <c r="A10036" s="3" t="n">
        <v>2026</v>
      </c>
      <c r="B10036" s="4" t="n">
        <v>10758</v>
      </c>
      <c r="C10036" s="4" t="n">
        <v>220</v>
      </c>
      <c r="D10036" s="4" t="n">
        <v>66.55</v>
      </c>
      <c r="E10036" s="5" t="n">
        <v>161.7</v>
      </c>
      <c r="F10036" s="3" t="inlineStr">
        <is>
          <t>장군면</t>
        </is>
      </c>
      <c r="G10036" s="3" t="inlineStr">
        <is>
          <t>산학리</t>
        </is>
      </c>
      <c r="H10036" s="3" t="inlineStr">
        <is>
          <t>계획관리지역</t>
        </is>
      </c>
      <c r="I10036" s="3" t="inlineStr">
        <is>
          <t>종교용지</t>
        </is>
      </c>
      <c r="J10036" s="3" t="inlineStr">
        <is>
          <t>장군면</t>
        </is>
      </c>
    </row>
    <row r="10037">
      <c r="A10037" s="3" t="n">
        <v>2024</v>
      </c>
      <c r="B10037" s="4" t="n">
        <v>7000</v>
      </c>
      <c r="C10037" s="4" t="n">
        <v>2205</v>
      </c>
      <c r="D10037" s="4" t="n">
        <v>667.0124999999999</v>
      </c>
      <c r="E10037" s="5" t="n">
        <v>10.5</v>
      </c>
      <c r="F10037" s="3" t="inlineStr">
        <is>
          <t>유구읍</t>
        </is>
      </c>
      <c r="G10037" s="3" t="inlineStr">
        <is>
          <t>만천리</t>
        </is>
      </c>
      <c r="H10037" s="3" t="inlineStr">
        <is>
          <t>농림지역</t>
        </is>
      </c>
      <c r="I10037" s="3" t="inlineStr">
        <is>
          <t>답</t>
        </is>
      </c>
      <c r="J10037" s="3" t="inlineStr">
        <is>
          <t>유구읍</t>
        </is>
      </c>
    </row>
    <row r="10038">
      <c r="A10038" s="3" t="n">
        <v>2024</v>
      </c>
      <c r="B10038" s="4" t="n">
        <v>1000</v>
      </c>
      <c r="C10038" s="4" t="n">
        <v>492</v>
      </c>
      <c r="D10038" s="4" t="n">
        <v>148.83</v>
      </c>
      <c r="E10038" s="5" t="n">
        <v>6.7</v>
      </c>
      <c r="F10038" s="3" t="inlineStr">
        <is>
          <t>유구읍</t>
        </is>
      </c>
      <c r="G10038" s="3" t="inlineStr">
        <is>
          <t>신달리</t>
        </is>
      </c>
      <c r="H10038" s="3" t="inlineStr">
        <is>
          <t>보전관리지역</t>
        </is>
      </c>
      <c r="I10038" s="3" t="inlineStr">
        <is>
          <t>답</t>
        </is>
      </c>
      <c r="J10038" s="3" t="inlineStr">
        <is>
          <t>유구읍</t>
        </is>
      </c>
    </row>
    <row r="10039">
      <c r="A10039" s="3" t="n">
        <v>2024</v>
      </c>
      <c r="B10039" s="4" t="n">
        <v>3200</v>
      </c>
      <c r="C10039" s="4" t="n">
        <v>1422.3</v>
      </c>
      <c r="D10039" s="4" t="n">
        <v>430.24575</v>
      </c>
      <c r="E10039" s="5" t="n">
        <v>7.4</v>
      </c>
      <c r="F10039" s="3" t="inlineStr">
        <is>
          <t>유구읍</t>
        </is>
      </c>
      <c r="G10039" s="3" t="inlineStr">
        <is>
          <t>추계리</t>
        </is>
      </c>
      <c r="H10039" s="3" t="inlineStr">
        <is>
          <t>농림지역</t>
        </is>
      </c>
      <c r="I10039" s="3" t="inlineStr">
        <is>
          <t>답</t>
        </is>
      </c>
      <c r="J10039" s="3" t="inlineStr">
        <is>
          <t>유구읍</t>
        </is>
      </c>
    </row>
    <row r="10040">
      <c r="A10040" s="3" t="n">
        <v>2024</v>
      </c>
      <c r="B10040" s="4" t="n">
        <v>2690</v>
      </c>
      <c r="C10040" s="4" t="n">
        <v>361</v>
      </c>
      <c r="D10040" s="4" t="n">
        <v>109.2025</v>
      </c>
      <c r="E10040" s="5" t="n">
        <v>24.6</v>
      </c>
      <c r="F10040" s="3" t="inlineStr">
        <is>
          <t>유구읍</t>
        </is>
      </c>
      <c r="G10040" s="3" t="inlineStr">
        <is>
          <t>문금리</t>
        </is>
      </c>
      <c r="H10040" s="3" t="inlineStr">
        <is>
          <t>계획관리지역</t>
        </is>
      </c>
      <c r="I10040" s="3" t="inlineStr">
        <is>
          <t>전</t>
        </is>
      </c>
      <c r="J10040" s="3" t="inlineStr">
        <is>
          <t>유구읍</t>
        </is>
      </c>
    </row>
    <row r="10041">
      <c r="A10041" s="3" t="n">
        <v>2024</v>
      </c>
      <c r="B10041" s="4" t="n">
        <v>2590</v>
      </c>
      <c r="C10041" s="4" t="n">
        <v>347</v>
      </c>
      <c r="D10041" s="4" t="n">
        <v>104.9675</v>
      </c>
      <c r="E10041" s="5" t="n">
        <v>24.7</v>
      </c>
      <c r="F10041" s="3" t="inlineStr">
        <is>
          <t>유구읍</t>
        </is>
      </c>
      <c r="G10041" s="3" t="inlineStr">
        <is>
          <t>문금리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유구읍</t>
        </is>
      </c>
    </row>
    <row r="10042">
      <c r="A10042" s="3" t="n">
        <v>2024</v>
      </c>
      <c r="B10042" s="4" t="n">
        <v>2720</v>
      </c>
      <c r="C10042" s="4" t="n">
        <v>362</v>
      </c>
      <c r="D10042" s="4" t="n">
        <v>109.505</v>
      </c>
      <c r="E10042" s="5" t="n">
        <v>24.8</v>
      </c>
      <c r="F10042" s="3" t="inlineStr">
        <is>
          <t>유구읍</t>
        </is>
      </c>
      <c r="G10042" s="3" t="inlineStr">
        <is>
          <t>문금리</t>
        </is>
      </c>
      <c r="H10042" s="3" t="inlineStr">
        <is>
          <t>계획관리지역</t>
        </is>
      </c>
      <c r="I10042" s="3" t="inlineStr">
        <is>
          <t>전</t>
        </is>
      </c>
      <c r="J10042" s="3" t="inlineStr">
        <is>
          <t>유구읍</t>
        </is>
      </c>
    </row>
    <row r="10043">
      <c r="A10043" s="3" t="n">
        <v>2025</v>
      </c>
      <c r="B10043" s="4" t="n">
        <v>53924</v>
      </c>
      <c r="C10043" s="4" t="n">
        <v>2300.2</v>
      </c>
      <c r="D10043" s="4" t="n">
        <v>695.8104999999999</v>
      </c>
      <c r="E10043" s="5" t="n">
        <v>77.5</v>
      </c>
      <c r="F10043" s="3" t="inlineStr">
        <is>
          <t>금남면</t>
        </is>
      </c>
      <c r="G10043" s="3" t="inlineStr">
        <is>
          <t>부용리</t>
        </is>
      </c>
      <c r="H10043" s="3" t="inlineStr">
        <is>
          <t>개발제한구역</t>
        </is>
      </c>
      <c r="I10043" s="3" t="inlineStr">
        <is>
          <t>답</t>
        </is>
      </c>
      <c r="J10043" s="3" t="inlineStr">
        <is>
          <t>금남면</t>
        </is>
      </c>
    </row>
    <row r="10044">
      <c r="A10044" s="3" t="n">
        <v>2025</v>
      </c>
      <c r="B10044" s="4" t="n">
        <v>23927</v>
      </c>
      <c r="C10044" s="4" t="n">
        <v>508</v>
      </c>
      <c r="D10044" s="4" t="n">
        <v>153.67</v>
      </c>
      <c r="E10044" s="5" t="n">
        <v>155.7</v>
      </c>
      <c r="F10044" s="3" t="inlineStr">
        <is>
          <t>전의면</t>
        </is>
      </c>
      <c r="G10044" s="3" t="inlineStr">
        <is>
          <t>신방리</t>
        </is>
      </c>
      <c r="H10044" s="3" t="inlineStr">
        <is>
          <t>계획관리지역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2025</v>
      </c>
      <c r="B10045" s="4" t="n">
        <v>56326</v>
      </c>
      <c r="C10045" s="4" t="n">
        <v>252</v>
      </c>
      <c r="D10045" s="4" t="n">
        <v>76.23</v>
      </c>
      <c r="E10045" s="5" t="n">
        <v>738.9</v>
      </c>
      <c r="F10045" s="3" t="inlineStr">
        <is>
          <t>금남면</t>
        </is>
      </c>
      <c r="G10045" s="3" t="inlineStr">
        <is>
          <t>용포리</t>
        </is>
      </c>
      <c r="H10045" s="3" t="inlineStr">
        <is>
          <t>제2종일반주거지역</t>
        </is>
      </c>
      <c r="I10045" s="3" t="inlineStr">
        <is>
          <t>답</t>
        </is>
      </c>
      <c r="J10045" s="3" t="inlineStr">
        <is>
          <t>금남면</t>
        </is>
      </c>
    </row>
    <row r="10046">
      <c r="A10046" s="3" t="n">
        <v>2025</v>
      </c>
      <c r="B10046" s="4" t="n">
        <v>17000</v>
      </c>
      <c r="C10046" s="4" t="n">
        <v>1156</v>
      </c>
      <c r="D10046" s="4" t="n">
        <v>349.69</v>
      </c>
      <c r="E10046" s="5" t="n">
        <v>48.6</v>
      </c>
      <c r="F10046" s="3" t="inlineStr">
        <is>
          <t>부강면</t>
        </is>
      </c>
      <c r="G10046" s="3" t="inlineStr">
        <is>
          <t>갈산리</t>
        </is>
      </c>
      <c r="H10046" s="3" t="inlineStr">
        <is>
          <t>계획관리지역</t>
        </is>
      </c>
      <c r="I10046" s="3" t="inlineStr">
        <is>
          <t>전</t>
        </is>
      </c>
      <c r="J10046" s="3" t="inlineStr">
        <is>
          <t>부강면</t>
        </is>
      </c>
    </row>
    <row r="10047">
      <c r="A10047" s="3" t="n">
        <v>2025</v>
      </c>
      <c r="B10047" s="4" t="n">
        <v>60000</v>
      </c>
      <c r="C10047" s="4" t="n">
        <v>1812</v>
      </c>
      <c r="D10047" s="4" t="n">
        <v>548.13</v>
      </c>
      <c r="E10047" s="5" t="n">
        <v>109.5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농림지역</t>
        </is>
      </c>
      <c r="I10047" s="3" t="inlineStr">
        <is>
          <t>답</t>
        </is>
      </c>
      <c r="J10047" s="3" t="inlineStr">
        <is>
          <t>연기면</t>
        </is>
      </c>
    </row>
    <row r="10048">
      <c r="A10048" s="3" t="n">
        <v>2025</v>
      </c>
      <c r="B10048" s="4" t="n">
        <v>6350</v>
      </c>
      <c r="C10048" s="4" t="n">
        <v>562</v>
      </c>
      <c r="D10048" s="4" t="n">
        <v>170.005</v>
      </c>
      <c r="E10048" s="5" t="n">
        <v>37.4</v>
      </c>
      <c r="F10048" s="3" t="inlineStr">
        <is>
          <t>유구읍</t>
        </is>
      </c>
      <c r="G10048" s="3" t="inlineStr">
        <is>
          <t>유구리</t>
        </is>
      </c>
      <c r="H10048" s="3" t="inlineStr">
        <is>
          <t>계획관리지역</t>
        </is>
      </c>
      <c r="I10048" s="3" t="inlineStr">
        <is>
          <t>대</t>
        </is>
      </c>
      <c r="J10048" s="3" t="inlineStr">
        <is>
          <t>유구읍</t>
        </is>
      </c>
    </row>
    <row r="10049">
      <c r="A10049" s="3" t="n">
        <v>2025</v>
      </c>
      <c r="B10049" s="4" t="n">
        <v>3000</v>
      </c>
      <c r="C10049" s="4" t="n">
        <v>884.9</v>
      </c>
      <c r="D10049" s="4" t="n">
        <v>267.68225</v>
      </c>
      <c r="E10049" s="5" t="n">
        <v>11.2</v>
      </c>
      <c r="F10049" s="3" t="inlineStr">
        <is>
          <t>유구읍</t>
        </is>
      </c>
      <c r="G10049" s="3" t="inlineStr">
        <is>
          <t>문금리</t>
        </is>
      </c>
      <c r="H10049" s="3" t="inlineStr">
        <is>
          <t>농림지역</t>
        </is>
      </c>
      <c r="I10049" s="3" t="inlineStr">
        <is>
          <t>답</t>
        </is>
      </c>
      <c r="J10049" s="3" t="inlineStr">
        <is>
          <t>유구읍</t>
        </is>
      </c>
    </row>
    <row r="10050">
      <c r="A10050" s="3" t="n">
        <v>2025</v>
      </c>
      <c r="B10050" s="4" t="n">
        <v>790</v>
      </c>
      <c r="C10050" s="4" t="n">
        <v>377</v>
      </c>
      <c r="D10050" s="4" t="n">
        <v>114.0425</v>
      </c>
      <c r="E10050" s="5" t="n">
        <v>6.9</v>
      </c>
      <c r="F10050" s="3" t="inlineStr">
        <is>
          <t>유구읍</t>
        </is>
      </c>
      <c r="G10050" s="3" t="inlineStr">
        <is>
          <t>녹천리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유구읍</t>
        </is>
      </c>
    </row>
    <row r="10051">
      <c r="A10051" s="3" t="n">
        <v>2025</v>
      </c>
      <c r="B10051" s="4" t="n">
        <v>4270</v>
      </c>
      <c r="C10051" s="4" t="n">
        <v>2017</v>
      </c>
      <c r="D10051" s="4" t="n">
        <v>610.1424999999999</v>
      </c>
      <c r="E10051" s="5" t="n">
        <v>7</v>
      </c>
      <c r="F10051" s="3" t="inlineStr">
        <is>
          <t>유구읍</t>
        </is>
      </c>
      <c r="G10051" s="3" t="inlineStr">
        <is>
          <t>녹천리</t>
        </is>
      </c>
      <c r="H10051" s="3" t="inlineStr">
        <is>
          <t>계획관리지역</t>
        </is>
      </c>
      <c r="I10051" s="3" t="inlineStr">
        <is>
          <t>전</t>
        </is>
      </c>
      <c r="J10051" s="3" t="inlineStr">
        <is>
          <t>유구읍</t>
        </is>
      </c>
    </row>
    <row r="10052">
      <c r="A10052" s="3" t="n">
        <v>2025</v>
      </c>
      <c r="B10052" s="4" t="n">
        <v>2025</v>
      </c>
      <c r="C10052" s="4" t="n">
        <v>268</v>
      </c>
      <c r="D10052" s="4" t="n">
        <v>81.06999999999999</v>
      </c>
      <c r="E10052" s="5" t="n">
        <v>25</v>
      </c>
      <c r="F10052" s="3" t="inlineStr">
        <is>
          <t>유구읍</t>
        </is>
      </c>
      <c r="G10052" s="3" t="inlineStr">
        <is>
          <t>세동리</t>
        </is>
      </c>
      <c r="H10052" s="3" t="inlineStr">
        <is>
          <t>계획관리지역</t>
        </is>
      </c>
      <c r="I10052" s="3" t="inlineStr">
        <is>
          <t>대</t>
        </is>
      </c>
      <c r="J10052" s="3" t="inlineStr">
        <is>
          <t>유구읍</t>
        </is>
      </c>
    </row>
    <row r="10053">
      <c r="A10053" s="3" t="n">
        <v>2025</v>
      </c>
      <c r="B10053" s="4" t="n">
        <v>1875</v>
      </c>
      <c r="C10053" s="4" t="n">
        <v>248</v>
      </c>
      <c r="D10053" s="4" t="n">
        <v>75.02</v>
      </c>
      <c r="E10053" s="5" t="n">
        <v>25</v>
      </c>
      <c r="F10053" s="3" t="inlineStr">
        <is>
          <t>유구읍</t>
        </is>
      </c>
      <c r="G10053" s="3" t="inlineStr">
        <is>
          <t>세동리</t>
        </is>
      </c>
      <c r="H10053" s="3" t="inlineStr">
        <is>
          <t>계획관리지역</t>
        </is>
      </c>
      <c r="I10053" s="3" t="inlineStr">
        <is>
          <t>대</t>
        </is>
      </c>
      <c r="J10053" s="3" t="inlineStr">
        <is>
          <t>유구읍</t>
        </is>
      </c>
    </row>
    <row r="10054">
      <c r="A10054" s="3" t="n">
        <v>2025</v>
      </c>
      <c r="B10054" s="4" t="n">
        <v>5000</v>
      </c>
      <c r="C10054" s="4" t="n">
        <v>992</v>
      </c>
      <c r="D10054" s="4" t="n">
        <v>300.08</v>
      </c>
      <c r="E10054" s="5" t="n">
        <v>16.7</v>
      </c>
      <c r="F10054" s="3" t="inlineStr">
        <is>
          <t>유구읍</t>
        </is>
      </c>
      <c r="G10054" s="3" t="inlineStr">
        <is>
          <t>명곡리</t>
        </is>
      </c>
      <c r="H10054" s="3" t="inlineStr">
        <is>
          <t>계획관리지역</t>
        </is>
      </c>
      <c r="I10054" s="3" t="inlineStr">
        <is>
          <t>전</t>
        </is>
      </c>
      <c r="J10054" s="3" t="inlineStr">
        <is>
          <t>유구읍</t>
        </is>
      </c>
    </row>
    <row r="10055">
      <c r="A10055" s="3" t="n">
        <v>2025</v>
      </c>
      <c r="B10055" s="4" t="n">
        <v>16300</v>
      </c>
      <c r="C10055" s="4" t="n">
        <v>1587</v>
      </c>
      <c r="D10055" s="4" t="n">
        <v>480.0675</v>
      </c>
      <c r="E10055" s="5" t="n">
        <v>34</v>
      </c>
      <c r="F10055" s="3" t="inlineStr">
        <is>
          <t>유구읍</t>
        </is>
      </c>
      <c r="G10055" s="3" t="inlineStr">
        <is>
          <t>동해리</t>
        </is>
      </c>
      <c r="H10055" s="3" t="inlineStr">
        <is>
          <t>계획관리지역</t>
        </is>
      </c>
      <c r="I10055" s="3" t="inlineStr">
        <is>
          <t>답</t>
        </is>
      </c>
      <c r="J10055" s="3" t="inlineStr">
        <is>
          <t>유구읍</t>
        </is>
      </c>
    </row>
    <row r="10056">
      <c r="A10056" s="3" t="n">
        <v>2025</v>
      </c>
      <c r="B10056" s="4" t="n">
        <v>5000</v>
      </c>
      <c r="C10056" s="4" t="n">
        <v>7084</v>
      </c>
      <c r="D10056" s="4" t="n">
        <v>2142.91</v>
      </c>
      <c r="E10056" s="5" t="n">
        <v>2.3</v>
      </c>
      <c r="F10056" s="3" t="inlineStr">
        <is>
          <t>유구읍</t>
        </is>
      </c>
      <c r="G10056" s="3" t="inlineStr">
        <is>
          <t>신영리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유구읍</t>
        </is>
      </c>
    </row>
    <row r="10057">
      <c r="A10057" s="3" t="n">
        <v>2025</v>
      </c>
      <c r="B10057" s="4" t="n">
        <v>15500</v>
      </c>
      <c r="C10057" s="4" t="n">
        <v>3207</v>
      </c>
      <c r="D10057" s="4" t="n">
        <v>970.1174999999999</v>
      </c>
      <c r="E10057" s="5" t="n">
        <v>16</v>
      </c>
      <c r="F10057" s="3" t="inlineStr">
        <is>
          <t>유구읍</t>
        </is>
      </c>
      <c r="G10057" s="3" t="inlineStr">
        <is>
          <t>노동리</t>
        </is>
      </c>
      <c r="H10057" s="3" t="inlineStr">
        <is>
          <t>계획관리지역</t>
        </is>
      </c>
      <c r="I10057" s="3" t="inlineStr">
        <is>
          <t>답</t>
        </is>
      </c>
      <c r="J10057" s="3" t="inlineStr">
        <is>
          <t>유구읍</t>
        </is>
      </c>
    </row>
    <row r="10058">
      <c r="A10058" s="3" t="n">
        <v>2025</v>
      </c>
      <c r="B10058" s="4" t="n">
        <v>14152</v>
      </c>
      <c r="C10058" s="4" t="n">
        <v>1462</v>
      </c>
      <c r="D10058" s="4" t="n">
        <v>442.255</v>
      </c>
      <c r="E10058" s="5" t="n">
        <v>32</v>
      </c>
      <c r="F10058" s="3" t="inlineStr">
        <is>
          <t>유구읍</t>
        </is>
      </c>
      <c r="G10058" s="3" t="inlineStr">
        <is>
          <t>문금리</t>
        </is>
      </c>
      <c r="H10058" s="3" t="inlineStr">
        <is>
          <t>계획관리지역</t>
        </is>
      </c>
      <c r="I10058" s="3" t="inlineStr">
        <is>
          <t>전</t>
        </is>
      </c>
      <c r="J10058" s="3" t="inlineStr">
        <is>
          <t>유구읍</t>
        </is>
      </c>
    </row>
    <row r="10059">
      <c r="A10059" s="3" t="n">
        <v>2025</v>
      </c>
      <c r="B10059" s="4" t="n">
        <v>9592</v>
      </c>
      <c r="C10059" s="4" t="n">
        <v>991</v>
      </c>
      <c r="D10059" s="4" t="n">
        <v>299.7775</v>
      </c>
      <c r="E10059" s="5" t="n">
        <v>32</v>
      </c>
      <c r="F10059" s="3" t="inlineStr">
        <is>
          <t>유구읍</t>
        </is>
      </c>
      <c r="G10059" s="3" t="inlineStr">
        <is>
          <t>문금리</t>
        </is>
      </c>
      <c r="H10059" s="3" t="inlineStr">
        <is>
          <t>계획관리지역</t>
        </is>
      </c>
      <c r="I10059" s="3" t="inlineStr">
        <is>
          <t>전</t>
        </is>
      </c>
      <c r="J10059" s="3" t="inlineStr">
        <is>
          <t>유구읍</t>
        </is>
      </c>
    </row>
    <row r="10060">
      <c r="A10060" s="3" t="n">
        <v>2025</v>
      </c>
      <c r="B10060" s="4" t="n">
        <v>4900</v>
      </c>
      <c r="C10060" s="4" t="n">
        <v>360</v>
      </c>
      <c r="D10060" s="4" t="n">
        <v>108.9</v>
      </c>
      <c r="E10060" s="5" t="n">
        <v>45</v>
      </c>
      <c r="F10060" s="3" t="inlineStr">
        <is>
          <t>유구읍</t>
        </is>
      </c>
      <c r="G10060" s="3" t="inlineStr">
        <is>
          <t>유구리</t>
        </is>
      </c>
      <c r="H10060" s="3" t="inlineStr">
        <is>
          <t>계획관리지역</t>
        </is>
      </c>
      <c r="I10060" s="3" t="inlineStr">
        <is>
          <t>대</t>
        </is>
      </c>
      <c r="J10060" s="3" t="inlineStr">
        <is>
          <t>유구읍</t>
        </is>
      </c>
    </row>
    <row r="10061">
      <c r="A10061" s="3" t="n">
        <v>2025</v>
      </c>
      <c r="B10061" s="4" t="n">
        <v>1500</v>
      </c>
      <c r="C10061" s="4" t="n">
        <v>1780</v>
      </c>
      <c r="D10061" s="4" t="n">
        <v>538.4499999999999</v>
      </c>
      <c r="E10061" s="5" t="n">
        <v>2.8</v>
      </c>
      <c r="F10061" s="3" t="inlineStr">
        <is>
          <t>유구읍</t>
        </is>
      </c>
      <c r="G10061" s="3" t="inlineStr">
        <is>
          <t>추계리</t>
        </is>
      </c>
      <c r="H10061" s="3" t="inlineStr">
        <is>
          <t>보전관리지역</t>
        </is>
      </c>
      <c r="I10061" s="3" t="inlineStr">
        <is>
          <t>임야</t>
        </is>
      </c>
      <c r="J10061" s="3" t="inlineStr">
        <is>
          <t>유구읍</t>
        </is>
      </c>
    </row>
    <row r="10062">
      <c r="A10062" s="3" t="n">
        <v>2025</v>
      </c>
      <c r="B10062" s="4" t="n">
        <v>3800</v>
      </c>
      <c r="C10062" s="4" t="n">
        <v>12695</v>
      </c>
      <c r="D10062" s="4" t="n">
        <v>3840.2375</v>
      </c>
      <c r="E10062" s="5" t="n">
        <v>1</v>
      </c>
      <c r="F10062" s="3" t="inlineStr">
        <is>
          <t>유구읍</t>
        </is>
      </c>
      <c r="G10062" s="3" t="inlineStr">
        <is>
          <t>노동리</t>
        </is>
      </c>
      <c r="H10062" s="3" t="inlineStr">
        <is>
          <t>계획관리지역</t>
        </is>
      </c>
      <c r="I10062" s="3" t="inlineStr">
        <is>
          <t>임야</t>
        </is>
      </c>
      <c r="J10062" s="3" t="inlineStr">
        <is>
          <t>유구읍</t>
        </is>
      </c>
    </row>
    <row r="10063">
      <c r="A10063" s="3" t="n">
        <v>2025</v>
      </c>
      <c r="B10063" s="4" t="n">
        <v>1848</v>
      </c>
      <c r="C10063" s="4" t="n">
        <v>555</v>
      </c>
      <c r="D10063" s="4" t="n">
        <v>167.8875</v>
      </c>
      <c r="E10063" s="5" t="n">
        <v>11</v>
      </c>
      <c r="F10063" s="3" t="inlineStr">
        <is>
          <t>유구읍</t>
        </is>
      </c>
      <c r="G10063" s="3" t="inlineStr">
        <is>
          <t>입석리</t>
        </is>
      </c>
      <c r="H10063" s="3" t="inlineStr">
        <is>
          <t>생산관리지역</t>
        </is>
      </c>
      <c r="I10063" s="3" t="inlineStr">
        <is>
          <t>답</t>
        </is>
      </c>
      <c r="J10063" s="3" t="inlineStr">
        <is>
          <t>유구읍</t>
        </is>
      </c>
    </row>
    <row r="10064">
      <c r="A10064" s="3" t="n">
        <v>2025</v>
      </c>
      <c r="B10064" s="4" t="n">
        <v>528</v>
      </c>
      <c r="C10064" s="4" t="n">
        <v>159</v>
      </c>
      <c r="D10064" s="4" t="n">
        <v>48.0975</v>
      </c>
      <c r="E10064" s="5" t="n">
        <v>11</v>
      </c>
      <c r="F10064" s="3" t="inlineStr">
        <is>
          <t>유구읍</t>
        </is>
      </c>
      <c r="G10064" s="3" t="inlineStr">
        <is>
          <t>입석리</t>
        </is>
      </c>
      <c r="H10064" s="3" t="inlineStr">
        <is>
          <t>생산관리지역</t>
        </is>
      </c>
      <c r="I10064" s="3" t="inlineStr">
        <is>
          <t>전</t>
        </is>
      </c>
      <c r="J10064" s="3" t="inlineStr">
        <is>
          <t>유구읍</t>
        </is>
      </c>
    </row>
    <row r="10065">
      <c r="A10065" s="3" t="n">
        <v>2025</v>
      </c>
      <c r="B10065" s="4" t="n">
        <v>1950</v>
      </c>
      <c r="C10065" s="4" t="n">
        <v>1283</v>
      </c>
      <c r="D10065" s="4" t="n">
        <v>388.1075</v>
      </c>
      <c r="E10065" s="5" t="n">
        <v>5</v>
      </c>
      <c r="F10065" s="3" t="inlineStr">
        <is>
          <t>유구읍</t>
        </is>
      </c>
      <c r="G10065" s="3" t="inlineStr">
        <is>
          <t>동해리</t>
        </is>
      </c>
      <c r="H10065" s="3" t="inlineStr">
        <is>
          <t>계획관리지역</t>
        </is>
      </c>
      <c r="I10065" s="3" t="inlineStr">
        <is>
          <t>전</t>
        </is>
      </c>
      <c r="J10065" s="3" t="inlineStr">
        <is>
          <t>유구읍</t>
        </is>
      </c>
    </row>
    <row r="10066">
      <c r="A10066" s="3" t="n">
        <v>2025</v>
      </c>
      <c r="B10066" s="4" t="n">
        <v>24100</v>
      </c>
      <c r="C10066" s="4" t="n">
        <v>3464</v>
      </c>
      <c r="D10066" s="4" t="n">
        <v>1047.86</v>
      </c>
      <c r="E10066" s="5" t="n">
        <v>23</v>
      </c>
      <c r="F10066" s="3" t="inlineStr">
        <is>
          <t>유구읍</t>
        </is>
      </c>
      <c r="G10066" s="3" t="inlineStr">
        <is>
          <t>동해리</t>
        </is>
      </c>
      <c r="H10066" s="3" t="inlineStr">
        <is>
          <t>계획관리지역</t>
        </is>
      </c>
      <c r="I10066" s="3" t="inlineStr">
        <is>
          <t>답</t>
        </is>
      </c>
      <c r="J10066" s="3" t="inlineStr">
        <is>
          <t>유구읍</t>
        </is>
      </c>
    </row>
    <row r="10067">
      <c r="A10067" s="3" t="n">
        <v>2025</v>
      </c>
      <c r="B10067" s="4" t="n">
        <v>3500</v>
      </c>
      <c r="C10067" s="4" t="n">
        <v>1159</v>
      </c>
      <c r="D10067" s="4" t="n">
        <v>350.5975</v>
      </c>
      <c r="E10067" s="5" t="n">
        <v>10</v>
      </c>
      <c r="F10067" s="3" t="inlineStr">
        <is>
          <t>유구읍</t>
        </is>
      </c>
      <c r="G10067" s="3" t="inlineStr">
        <is>
          <t>세동리</t>
        </is>
      </c>
      <c r="H10067" s="3" t="inlineStr">
        <is>
          <t>생산관리지역</t>
        </is>
      </c>
      <c r="I10067" s="3" t="inlineStr">
        <is>
          <t>전</t>
        </is>
      </c>
      <c r="J10067" s="3" t="inlineStr">
        <is>
          <t>유구읍</t>
        </is>
      </c>
    </row>
    <row r="10068">
      <c r="A10068" s="3" t="n">
        <v>2025</v>
      </c>
      <c r="B10068" s="4" t="n">
        <v>18000</v>
      </c>
      <c r="C10068" s="4" t="n">
        <v>30347</v>
      </c>
      <c r="D10068" s="4" t="n">
        <v>9179.967499999999</v>
      </c>
      <c r="E10068" s="5" t="n">
        <v>2</v>
      </c>
      <c r="F10068" s="3" t="inlineStr">
        <is>
          <t>유구읍</t>
        </is>
      </c>
      <c r="G10068" s="3" t="inlineStr">
        <is>
          <t>동해리</t>
        </is>
      </c>
      <c r="H10068" s="3" t="inlineStr">
        <is>
          <t>계획관리지역</t>
        </is>
      </c>
      <c r="I10068" s="3" t="inlineStr">
        <is>
          <t>임야</t>
        </is>
      </c>
      <c r="J10068" s="3" t="inlineStr">
        <is>
          <t>유구읍</t>
        </is>
      </c>
    </row>
    <row r="10069">
      <c r="A10069" s="3" t="n">
        <v>2025</v>
      </c>
      <c r="B10069" s="4" t="n">
        <v>1500</v>
      </c>
      <c r="C10069" s="4" t="n">
        <v>113</v>
      </c>
      <c r="D10069" s="4" t="n">
        <v>34.1825</v>
      </c>
      <c r="E10069" s="5" t="n">
        <v>43.9</v>
      </c>
      <c r="F10069" s="3" t="inlineStr">
        <is>
          <t>유구읍</t>
        </is>
      </c>
      <c r="G10069" s="3" t="inlineStr">
        <is>
          <t>석남리</t>
        </is>
      </c>
      <c r="H10069" s="3" t="inlineStr">
        <is>
          <t>제2종일반주거지역</t>
        </is>
      </c>
      <c r="I10069" s="3" t="inlineStr">
        <is>
          <t>대</t>
        </is>
      </c>
      <c r="J10069" s="3" t="inlineStr">
        <is>
          <t>유구읍</t>
        </is>
      </c>
    </row>
    <row r="10070">
      <c r="A10070" s="3" t="n">
        <v>2026</v>
      </c>
      <c r="B10070" s="4" t="n">
        <v>5800</v>
      </c>
      <c r="C10070" s="4" t="n">
        <v>191</v>
      </c>
      <c r="D10070" s="4" t="n">
        <v>57.7775</v>
      </c>
      <c r="E10070" s="5" t="n">
        <v>100.4</v>
      </c>
      <c r="F10070" s="3" t="inlineStr">
        <is>
          <t>유구읍</t>
        </is>
      </c>
      <c r="G10070" s="3" t="inlineStr">
        <is>
          <t>녹천리</t>
        </is>
      </c>
      <c r="H10070" s="3" t="inlineStr">
        <is>
          <t>준공업지역</t>
        </is>
      </c>
      <c r="I10070" s="3" t="inlineStr">
        <is>
          <t>대</t>
        </is>
      </c>
      <c r="J10070" s="3" t="inlineStr">
        <is>
          <t>유구읍</t>
        </is>
      </c>
    </row>
    <row r="10071">
      <c r="A10071" s="3" t="n">
        <v>2026</v>
      </c>
      <c r="B10071" s="4" t="n">
        <v>5500</v>
      </c>
      <c r="C10071" s="4" t="n">
        <v>51673</v>
      </c>
      <c r="D10071" s="4" t="n">
        <v>15631.0825</v>
      </c>
      <c r="E10071" s="5" t="n">
        <v>0.4</v>
      </c>
      <c r="F10071" s="3" t="inlineStr">
        <is>
          <t>유구읍</t>
        </is>
      </c>
      <c r="G10071" s="3" t="inlineStr">
        <is>
          <t>만천리</t>
        </is>
      </c>
      <c r="H10071" s="3" t="inlineStr">
        <is>
          <t>계획관리지역</t>
        </is>
      </c>
      <c r="I10071" s="3" t="inlineStr">
        <is>
          <t>임야</t>
        </is>
      </c>
      <c r="J10071" s="3" t="inlineStr">
        <is>
          <t>유구읍</t>
        </is>
      </c>
    </row>
    <row r="10072">
      <c r="A10072" s="3" t="n">
        <v>2026</v>
      </c>
      <c r="B10072" s="4" t="n">
        <v>8000</v>
      </c>
      <c r="C10072" s="4" t="n">
        <v>886</v>
      </c>
      <c r="D10072" s="4" t="n">
        <v>268.015</v>
      </c>
      <c r="E10072" s="5" t="n">
        <v>29.8</v>
      </c>
      <c r="F10072" s="3" t="inlineStr">
        <is>
          <t>유구읍</t>
        </is>
      </c>
      <c r="G10072" s="3" t="inlineStr">
        <is>
          <t>구계리</t>
        </is>
      </c>
      <c r="H10072" s="3" t="inlineStr">
        <is>
          <t>계획관리지역</t>
        </is>
      </c>
      <c r="I10072" s="3" t="inlineStr">
        <is>
          <t>답</t>
        </is>
      </c>
      <c r="J10072" s="3" t="inlineStr">
        <is>
          <t>유구읍</t>
        </is>
      </c>
    </row>
    <row r="10073">
      <c r="A10073" s="3" t="n">
        <v>2026</v>
      </c>
      <c r="B10073" s="4" t="n">
        <v>4000</v>
      </c>
      <c r="C10073" s="4" t="n">
        <v>2026</v>
      </c>
      <c r="D10073" s="4" t="n">
        <v>612.865</v>
      </c>
      <c r="E10073" s="5" t="n">
        <v>6.5</v>
      </c>
      <c r="F10073" s="3" t="inlineStr">
        <is>
          <t>유구읍</t>
        </is>
      </c>
      <c r="G10073" s="3" t="inlineStr">
        <is>
          <t>녹천리</t>
        </is>
      </c>
      <c r="H10073" s="3" t="inlineStr">
        <is>
          <t>계획관리지역</t>
        </is>
      </c>
      <c r="I10073" s="3" t="inlineStr">
        <is>
          <t>전</t>
        </is>
      </c>
      <c r="J10073" s="3" t="inlineStr">
        <is>
          <t>유구읍</t>
        </is>
      </c>
    </row>
    <row r="10074">
      <c r="A10074" s="3" t="n">
        <v>2026</v>
      </c>
      <c r="B10074" s="4" t="n">
        <v>1691</v>
      </c>
      <c r="C10074" s="4" t="n">
        <v>349</v>
      </c>
      <c r="D10074" s="4" t="n">
        <v>105.5725</v>
      </c>
      <c r="E10074" s="5" t="n">
        <v>16</v>
      </c>
      <c r="F10074" s="3" t="inlineStr">
        <is>
          <t>유구읍</t>
        </is>
      </c>
      <c r="G10074" s="3" t="inlineStr">
        <is>
          <t>석남리</t>
        </is>
      </c>
      <c r="H10074" s="3" t="inlineStr">
        <is>
          <t>계획관리지역</t>
        </is>
      </c>
      <c r="I10074" s="3" t="inlineStr">
        <is>
          <t>대</t>
        </is>
      </c>
      <c r="J10074" s="3" t="inlineStr">
        <is>
          <t>유구읍</t>
        </is>
      </c>
    </row>
    <row r="10075">
      <c r="A10075" s="3" t="n">
        <v>2026</v>
      </c>
      <c r="B10075" s="4" t="n">
        <v>2309</v>
      </c>
      <c r="C10075" s="4" t="n">
        <v>438</v>
      </c>
      <c r="D10075" s="4" t="n">
        <v>132.495</v>
      </c>
      <c r="E10075" s="5" t="n">
        <v>17.4</v>
      </c>
      <c r="F10075" s="3" t="inlineStr">
        <is>
          <t>유구읍</t>
        </is>
      </c>
      <c r="G10075" s="3" t="inlineStr">
        <is>
          <t>석남리</t>
        </is>
      </c>
      <c r="H10075" s="3" t="inlineStr">
        <is>
          <t>계획관리지역</t>
        </is>
      </c>
      <c r="I10075" s="3" t="inlineStr">
        <is>
          <t>대</t>
        </is>
      </c>
      <c r="J10075" s="3" t="inlineStr">
        <is>
          <t>유구읍</t>
        </is>
      </c>
    </row>
    <row r="10076">
      <c r="A10076" s="3" t="n">
        <v>2026</v>
      </c>
      <c r="B10076" s="4" t="n">
        <v>3000</v>
      </c>
      <c r="C10076" s="4" t="n">
        <v>1544</v>
      </c>
      <c r="D10076" s="4" t="n">
        <v>467.06</v>
      </c>
      <c r="E10076" s="5" t="n">
        <v>6.4</v>
      </c>
      <c r="F10076" s="3" t="inlineStr">
        <is>
          <t>유구읍</t>
        </is>
      </c>
      <c r="G10076" s="3" t="inlineStr">
        <is>
          <t>탑곡리</t>
        </is>
      </c>
      <c r="H10076" s="3" t="inlineStr">
        <is>
          <t>계획관리지역</t>
        </is>
      </c>
      <c r="I10076" s="3" t="inlineStr">
        <is>
          <t>답</t>
        </is>
      </c>
      <c r="J10076" s="3" t="inlineStr">
        <is>
          <t>유구읍</t>
        </is>
      </c>
    </row>
    <row r="10077">
      <c r="A10077" s="3" t="n">
        <v>2026</v>
      </c>
      <c r="B10077" s="4" t="n">
        <v>9950</v>
      </c>
      <c r="C10077" s="4" t="n">
        <v>561</v>
      </c>
      <c r="D10077" s="4" t="n">
        <v>169.7025</v>
      </c>
      <c r="E10077" s="5" t="n">
        <v>58.6</v>
      </c>
      <c r="F10077" s="3" t="inlineStr">
        <is>
          <t>유구읍</t>
        </is>
      </c>
      <c r="G10077" s="3" t="inlineStr">
        <is>
          <t>유구리</t>
        </is>
      </c>
      <c r="H10077" s="3" t="inlineStr">
        <is>
          <t>계획관리지역</t>
        </is>
      </c>
      <c r="I10077" s="3" t="inlineStr">
        <is>
          <t>답</t>
        </is>
      </c>
      <c r="J10077" s="3" t="inlineStr">
        <is>
          <t>유구읍</t>
        </is>
      </c>
    </row>
    <row r="10078">
      <c r="A10078" s="3" t="n">
        <v>2026</v>
      </c>
      <c r="B10078" s="4" t="n">
        <v>1050</v>
      </c>
      <c r="C10078" s="4" t="n">
        <v>62</v>
      </c>
      <c r="D10078" s="4" t="n">
        <v>18.755</v>
      </c>
      <c r="E10078" s="5" t="n">
        <v>56</v>
      </c>
      <c r="F10078" s="3" t="inlineStr">
        <is>
          <t>유구읍</t>
        </is>
      </c>
      <c r="G10078" s="3" t="inlineStr">
        <is>
          <t>유구리</t>
        </is>
      </c>
      <c r="H10078" s="3" t="inlineStr">
        <is>
          <t>계획관리지역</t>
        </is>
      </c>
      <c r="I10078" s="3" t="inlineStr">
        <is>
          <t>전</t>
        </is>
      </c>
      <c r="J10078" s="3" t="inlineStr">
        <is>
          <t>유구읍</t>
        </is>
      </c>
    </row>
    <row r="10079">
      <c r="A10079" s="3" t="n">
        <v>2026</v>
      </c>
      <c r="B10079" s="4" t="n">
        <v>2300</v>
      </c>
      <c r="C10079" s="4" t="n">
        <v>260</v>
      </c>
      <c r="D10079" s="4" t="n">
        <v>78.64999999999999</v>
      </c>
      <c r="E10079" s="5" t="n">
        <v>29.2</v>
      </c>
      <c r="F10079" s="3" t="inlineStr">
        <is>
          <t>유구읍</t>
        </is>
      </c>
      <c r="G10079" s="3" t="inlineStr">
        <is>
          <t>명곡리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유구읍</t>
        </is>
      </c>
    </row>
    <row r="10080">
      <c r="A10080" s="3" t="n">
        <v>2026</v>
      </c>
      <c r="B10080" s="4" t="n">
        <v>1500</v>
      </c>
      <c r="C10080" s="4" t="n">
        <v>229</v>
      </c>
      <c r="D10080" s="4" t="n">
        <v>69.27249999999999</v>
      </c>
      <c r="E10080" s="5" t="n">
        <v>21.7</v>
      </c>
      <c r="F10080" s="3" t="inlineStr">
        <is>
          <t>유구읍</t>
        </is>
      </c>
      <c r="G10080" s="3" t="inlineStr">
        <is>
          <t>신달리</t>
        </is>
      </c>
      <c r="H10080" s="3" t="inlineStr">
        <is>
          <t>계획관리지역</t>
        </is>
      </c>
      <c r="I10080" s="3" t="inlineStr">
        <is>
          <t>대</t>
        </is>
      </c>
      <c r="J10080" s="3" t="inlineStr">
        <is>
          <t>유구읍</t>
        </is>
      </c>
    </row>
    <row r="10081">
      <c r="A10081" s="3" t="n">
        <v>2026</v>
      </c>
      <c r="B10081" s="4" t="n">
        <v>200</v>
      </c>
      <c r="C10081" s="4" t="n">
        <v>32</v>
      </c>
      <c r="D10081" s="4" t="n">
        <v>9.68</v>
      </c>
      <c r="E10081" s="5" t="n">
        <v>20.7</v>
      </c>
      <c r="F10081" s="3" t="inlineStr">
        <is>
          <t>유구읍</t>
        </is>
      </c>
      <c r="G10081" s="3" t="inlineStr">
        <is>
          <t>신달리</t>
        </is>
      </c>
      <c r="H10081" s="3" t="inlineStr">
        <is>
          <t>계획관리지역</t>
        </is>
      </c>
      <c r="I10081" s="3" t="inlineStr">
        <is>
          <t>대</t>
        </is>
      </c>
      <c r="J10081" s="3" t="inlineStr">
        <is>
          <t>유구읍</t>
        </is>
      </c>
    </row>
    <row r="10082">
      <c r="A10082" s="3" t="n">
        <v>2024</v>
      </c>
      <c r="B10082" s="4" t="n">
        <v>50094</v>
      </c>
      <c r="C10082" s="4" t="n">
        <v>552</v>
      </c>
      <c r="D10082" s="4" t="n">
        <v>166.98</v>
      </c>
      <c r="E10082" s="5" t="n">
        <v>300</v>
      </c>
      <c r="F10082" s="3" t="inlineStr">
        <is>
          <t>연서면</t>
        </is>
      </c>
      <c r="G10082" s="3" t="inlineStr">
        <is>
          <t>신대리</t>
        </is>
      </c>
      <c r="H10082" s="3" t="inlineStr">
        <is>
          <t>계획관리지역</t>
        </is>
      </c>
      <c r="I10082" s="3" t="inlineStr">
        <is>
          <t>전</t>
        </is>
      </c>
      <c r="J10082" s="3" t="inlineStr">
        <is>
          <t>연서면</t>
        </is>
      </c>
    </row>
    <row r="10083">
      <c r="A10083" s="3" t="n">
        <v>2024</v>
      </c>
      <c r="B10083" s="4" t="n">
        <v>400</v>
      </c>
      <c r="C10083" s="4" t="n">
        <v>3</v>
      </c>
      <c r="D10083" s="4" t="n">
        <v>0.9075</v>
      </c>
      <c r="E10083" s="5" t="n">
        <v>440.8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계획관리지역</t>
        </is>
      </c>
      <c r="I10083" s="3" t="inlineStr">
        <is>
          <t>대</t>
        </is>
      </c>
      <c r="J10083" s="3" t="inlineStr">
        <is>
          <t>금남면</t>
        </is>
      </c>
    </row>
    <row r="10084">
      <c r="A10084" s="3" t="n">
        <v>2024</v>
      </c>
      <c r="B10084" s="4" t="n">
        <v>18582</v>
      </c>
      <c r="C10084" s="4" t="n">
        <v>1617</v>
      </c>
      <c r="D10084" s="4" t="n">
        <v>489.1425</v>
      </c>
      <c r="E10084" s="5" t="n">
        <v>38</v>
      </c>
      <c r="F10084" s="3" t="inlineStr">
        <is>
          <t>소정면</t>
        </is>
      </c>
      <c r="G10084" s="3" t="inlineStr">
        <is>
          <t>소정리</t>
        </is>
      </c>
      <c r="H10084" s="3" t="inlineStr">
        <is>
          <t>농림지역</t>
        </is>
      </c>
      <c r="I10084" s="3" t="inlineStr">
        <is>
          <t>답</t>
        </is>
      </c>
      <c r="J10084" s="3" t="inlineStr">
        <is>
          <t>소정면</t>
        </is>
      </c>
    </row>
    <row r="10085">
      <c r="A10085" s="3" t="n">
        <v>2024</v>
      </c>
      <c r="B10085" s="4" t="n">
        <v>29900</v>
      </c>
      <c r="C10085" s="4" t="n">
        <v>161</v>
      </c>
      <c r="D10085" s="4" t="n">
        <v>48.7025</v>
      </c>
      <c r="E10085" s="5" t="n">
        <v>613.9</v>
      </c>
      <c r="F10085" s="3" t="inlineStr">
        <is>
          <t>조치원읍</t>
        </is>
      </c>
      <c r="G10085" s="3" t="inlineStr">
        <is>
          <t>침산리</t>
        </is>
      </c>
      <c r="H10085" s="3" t="inlineStr">
        <is>
          <t>제2종일반주거지역</t>
        </is>
      </c>
      <c r="I10085" s="3" t="inlineStr">
        <is>
          <t>대</t>
        </is>
      </c>
      <c r="J10085" s="3" t="inlineStr">
        <is>
          <t>조치원읍</t>
        </is>
      </c>
    </row>
    <row r="10086">
      <c r="A10086" s="3" t="n">
        <v>2024</v>
      </c>
      <c r="B10086" s="4" t="n">
        <v>27000</v>
      </c>
      <c r="C10086" s="4" t="n">
        <v>2552</v>
      </c>
      <c r="D10086" s="4" t="n">
        <v>771.98</v>
      </c>
      <c r="E10086" s="5" t="n">
        <v>35</v>
      </c>
      <c r="F10086" s="3" t="inlineStr">
        <is>
          <t>전동면</t>
        </is>
      </c>
      <c r="G10086" s="3" t="inlineStr">
        <is>
          <t>보덕리</t>
        </is>
      </c>
      <c r="H10086" s="3" t="inlineStr">
        <is>
          <t>농림지역</t>
        </is>
      </c>
      <c r="I10086" s="3" t="inlineStr">
        <is>
          <t>답</t>
        </is>
      </c>
      <c r="J10086" s="3" t="inlineStr">
        <is>
          <t>전동면</t>
        </is>
      </c>
    </row>
    <row r="10087">
      <c r="A10087" s="3" t="n">
        <v>2024</v>
      </c>
      <c r="B10087" s="4" t="n">
        <v>34000</v>
      </c>
      <c r="C10087" s="4" t="n">
        <v>283.7</v>
      </c>
      <c r="D10087" s="4" t="n">
        <v>85.81925</v>
      </c>
      <c r="E10087" s="5" t="n">
        <v>396.2</v>
      </c>
      <c r="F10087" s="3" t="inlineStr">
        <is>
          <t>다정동</t>
        </is>
      </c>
      <c r="G10087" s="3" t="inlineStr"/>
      <c r="H10087" s="3" t="inlineStr">
        <is>
          <t>제2종전용주거지역</t>
        </is>
      </c>
      <c r="I10087" s="3" t="inlineStr">
        <is>
          <t>대</t>
        </is>
      </c>
      <c r="J10087" s="3" t="inlineStr">
        <is>
          <t>다정동</t>
        </is>
      </c>
    </row>
    <row r="10088">
      <c r="A10088" s="3" t="n">
        <v>2024</v>
      </c>
      <c r="B10088" s="4" t="n">
        <v>8000</v>
      </c>
      <c r="C10088" s="4" t="n">
        <v>46</v>
      </c>
      <c r="D10088" s="4" t="n">
        <v>13.915</v>
      </c>
      <c r="E10088" s="5" t="n">
        <v>574.9</v>
      </c>
      <c r="F10088" s="3" t="inlineStr">
        <is>
          <t>조치원읍</t>
        </is>
      </c>
      <c r="G10088" s="3" t="inlineStr">
        <is>
          <t>원리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2024</v>
      </c>
      <c r="B10089" s="4" t="n">
        <v>20000</v>
      </c>
      <c r="C10089" s="4" t="n">
        <v>274</v>
      </c>
      <c r="D10089" s="4" t="n">
        <v>82.88499999999999</v>
      </c>
      <c r="E10089" s="5" t="n">
        <v>241.3</v>
      </c>
      <c r="F10089" s="3" t="inlineStr">
        <is>
          <t>전의면</t>
        </is>
      </c>
      <c r="G10089" s="3" t="inlineStr">
        <is>
          <t>동교리</t>
        </is>
      </c>
      <c r="H10089" s="3" t="inlineStr">
        <is>
          <t>계획관리지역</t>
        </is>
      </c>
      <c r="I10089" s="3" t="inlineStr">
        <is>
          <t>대</t>
        </is>
      </c>
      <c r="J10089" s="3" t="inlineStr">
        <is>
          <t>전의면</t>
        </is>
      </c>
    </row>
    <row r="10090">
      <c r="A10090" s="3" t="n">
        <v>2024</v>
      </c>
      <c r="B10090" s="4" t="n">
        <v>39700</v>
      </c>
      <c r="C10090" s="4" t="n">
        <v>1041</v>
      </c>
      <c r="D10090" s="4" t="n">
        <v>314.9025</v>
      </c>
      <c r="E10090" s="5" t="n">
        <v>126.1</v>
      </c>
      <c r="F10090" s="3" t="inlineStr">
        <is>
          <t>전의면</t>
        </is>
      </c>
      <c r="G10090" s="3" t="inlineStr">
        <is>
          <t>동교리</t>
        </is>
      </c>
      <c r="H10090" s="3" t="inlineStr">
        <is>
          <t>계획관리지역</t>
        </is>
      </c>
      <c r="I10090" s="3" t="inlineStr">
        <is>
          <t>임야</t>
        </is>
      </c>
      <c r="J10090" s="3" t="inlineStr">
        <is>
          <t>전의면</t>
        </is>
      </c>
    </row>
    <row r="10091">
      <c r="A10091" s="3" t="n">
        <v>2024</v>
      </c>
      <c r="B10091" s="4" t="n">
        <v>4052</v>
      </c>
      <c r="C10091" s="4" t="n">
        <v>67</v>
      </c>
      <c r="D10091" s="4" t="n">
        <v>20.2675</v>
      </c>
      <c r="E10091" s="5" t="n">
        <v>199.9</v>
      </c>
      <c r="F10091" s="3" t="inlineStr">
        <is>
          <t>부강면</t>
        </is>
      </c>
      <c r="G10091" s="3" t="inlineStr">
        <is>
          <t>부강리</t>
        </is>
      </c>
      <c r="H10091" s="3" t="inlineStr">
        <is>
          <t>계획관리지역</t>
        </is>
      </c>
      <c r="I10091" s="3" t="inlineStr">
        <is>
          <t>공장용지</t>
        </is>
      </c>
      <c r="J10091" s="3" t="inlineStr">
        <is>
          <t>부강면</t>
        </is>
      </c>
    </row>
    <row r="10092">
      <c r="A10092" s="3" t="n">
        <v>2024</v>
      </c>
      <c r="B10092" s="4" t="n">
        <v>3200</v>
      </c>
      <c r="C10092" s="4" t="n">
        <v>200</v>
      </c>
      <c r="D10092" s="4" t="n">
        <v>60.5</v>
      </c>
      <c r="E10092" s="5" t="n">
        <v>52.9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답</t>
        </is>
      </c>
      <c r="J10092" s="3" t="inlineStr">
        <is>
          <t>부강면</t>
        </is>
      </c>
    </row>
    <row r="10093">
      <c r="A10093" s="3" t="n">
        <v>2024</v>
      </c>
      <c r="B10093" s="4" t="n">
        <v>45984</v>
      </c>
      <c r="C10093" s="4" t="n">
        <v>4750</v>
      </c>
      <c r="D10093" s="4" t="n">
        <v>1436.875</v>
      </c>
      <c r="E10093" s="5" t="n">
        <v>32</v>
      </c>
      <c r="F10093" s="3" t="inlineStr">
        <is>
          <t>소정면</t>
        </is>
      </c>
      <c r="G10093" s="3" t="inlineStr">
        <is>
          <t>소정리</t>
        </is>
      </c>
      <c r="H10093" s="3" t="inlineStr">
        <is>
          <t>농림지역</t>
        </is>
      </c>
      <c r="I10093" s="3" t="inlineStr">
        <is>
          <t>답</t>
        </is>
      </c>
      <c r="J10093" s="3" t="inlineStr">
        <is>
          <t>소정면</t>
        </is>
      </c>
    </row>
    <row r="10094">
      <c r="A10094" s="3" t="n">
        <v>2024</v>
      </c>
      <c r="B10094" s="4" t="n">
        <v>13500</v>
      </c>
      <c r="C10094" s="4" t="n">
        <v>569</v>
      </c>
      <c r="D10094" s="4" t="n">
        <v>172.1225</v>
      </c>
      <c r="E10094" s="5" t="n">
        <v>78.40000000000001</v>
      </c>
      <c r="F10094" s="3" t="inlineStr">
        <is>
          <t>금남면</t>
        </is>
      </c>
      <c r="G10094" s="3" t="inlineStr">
        <is>
          <t>성강리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금남면</t>
        </is>
      </c>
    </row>
    <row r="10095">
      <c r="A10095" s="3" t="n">
        <v>2024</v>
      </c>
      <c r="B10095" s="4" t="n">
        <v>1500</v>
      </c>
      <c r="C10095" s="4" t="n">
        <v>83</v>
      </c>
      <c r="D10095" s="4" t="n">
        <v>25.1075</v>
      </c>
      <c r="E10095" s="5" t="n">
        <v>59.7</v>
      </c>
      <c r="F10095" s="3" t="inlineStr">
        <is>
          <t>금남면</t>
        </is>
      </c>
      <c r="G10095" s="3" t="inlineStr">
        <is>
          <t>성강리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금남면</t>
        </is>
      </c>
    </row>
    <row r="10096">
      <c r="A10096" s="3" t="n">
        <v>2024</v>
      </c>
      <c r="B10096" s="4" t="n">
        <v>6000</v>
      </c>
      <c r="C10096" s="4" t="n">
        <v>100</v>
      </c>
      <c r="D10096" s="4" t="n">
        <v>30.25</v>
      </c>
      <c r="E10096" s="5" t="n">
        <v>198.3</v>
      </c>
      <c r="F10096" s="3" t="inlineStr">
        <is>
          <t>금남면</t>
        </is>
      </c>
      <c r="G10096" s="3" t="inlineStr">
        <is>
          <t>용포리</t>
        </is>
      </c>
      <c r="H10096" s="3" t="inlineStr">
        <is>
          <t>자연녹지지역</t>
        </is>
      </c>
      <c r="I10096" s="3" t="inlineStr">
        <is>
          <t>임야</t>
        </is>
      </c>
      <c r="J10096" s="3" t="inlineStr">
        <is>
          <t>금남면</t>
        </is>
      </c>
    </row>
    <row r="10097">
      <c r="A10097" s="3" t="n">
        <v>2024</v>
      </c>
      <c r="B10097" s="4" t="n">
        <v>69000</v>
      </c>
      <c r="C10097" s="4" t="n">
        <v>330</v>
      </c>
      <c r="D10097" s="4" t="n">
        <v>99.825</v>
      </c>
      <c r="E10097" s="5" t="n">
        <v>691.2</v>
      </c>
      <c r="F10097" s="3" t="inlineStr">
        <is>
          <t>반곡동</t>
        </is>
      </c>
      <c r="G10097" s="3" t="inlineStr"/>
      <c r="H10097" s="3" t="inlineStr">
        <is>
          <t>제2종전용주거지역</t>
        </is>
      </c>
      <c r="I10097" s="3" t="inlineStr">
        <is>
          <t>대</t>
        </is>
      </c>
      <c r="J10097" s="3" t="inlineStr">
        <is>
          <t>반곡동</t>
        </is>
      </c>
    </row>
    <row r="10098">
      <c r="A10098" s="3" t="n">
        <v>2024</v>
      </c>
      <c r="B10098" s="4" t="n">
        <v>21018</v>
      </c>
      <c r="C10098" s="4" t="n">
        <v>386</v>
      </c>
      <c r="D10098" s="4" t="n">
        <v>116.765</v>
      </c>
      <c r="E10098" s="5" t="n">
        <v>180</v>
      </c>
      <c r="F10098" s="3" t="inlineStr">
        <is>
          <t>장군면</t>
        </is>
      </c>
      <c r="G10098" s="3" t="inlineStr">
        <is>
          <t>송문리</t>
        </is>
      </c>
      <c r="H10098" s="3" t="inlineStr">
        <is>
          <t>보전관리지역</t>
        </is>
      </c>
      <c r="I10098" s="3" t="inlineStr">
        <is>
          <t>대</t>
        </is>
      </c>
      <c r="J10098" s="3" t="inlineStr">
        <is>
          <t>장군면</t>
        </is>
      </c>
    </row>
    <row r="10099">
      <c r="A10099" s="3" t="n">
        <v>2024</v>
      </c>
      <c r="B10099" s="4" t="n">
        <v>60098</v>
      </c>
      <c r="C10099" s="4" t="n">
        <v>1954</v>
      </c>
      <c r="D10099" s="4" t="n">
        <v>591.085</v>
      </c>
      <c r="E10099" s="5" t="n">
        <v>101.7</v>
      </c>
      <c r="F10099" s="3" t="inlineStr">
        <is>
          <t>소정면</t>
        </is>
      </c>
      <c r="G10099" s="3" t="inlineStr">
        <is>
          <t>고등리</t>
        </is>
      </c>
      <c r="H10099" s="3" t="inlineStr">
        <is>
          <t>계획관리지역</t>
        </is>
      </c>
      <c r="I10099" s="3" t="inlineStr">
        <is>
          <t>잡종지</t>
        </is>
      </c>
      <c r="J10099" s="3" t="inlineStr">
        <is>
          <t>소정면</t>
        </is>
      </c>
    </row>
    <row r="10100">
      <c r="A10100" s="3" t="n">
        <v>2024</v>
      </c>
      <c r="B10100" s="4" t="n">
        <v>76217</v>
      </c>
      <c r="C10100" s="4" t="n">
        <v>12040</v>
      </c>
      <c r="D10100" s="4" t="n">
        <v>3642.1</v>
      </c>
      <c r="E10100" s="5" t="n">
        <v>20.9</v>
      </c>
      <c r="F10100" s="3" t="inlineStr">
        <is>
          <t>소정면</t>
        </is>
      </c>
      <c r="G10100" s="3" t="inlineStr">
        <is>
          <t>고등리</t>
        </is>
      </c>
      <c r="H10100" s="3" t="inlineStr">
        <is>
          <t>계획관리지역</t>
        </is>
      </c>
      <c r="I10100" s="3" t="inlineStr">
        <is>
          <t>임야</t>
        </is>
      </c>
      <c r="J10100" s="3" t="inlineStr">
        <is>
          <t>소정면</t>
        </is>
      </c>
    </row>
    <row r="10101">
      <c r="A10101" s="3" t="n">
        <v>2024</v>
      </c>
      <c r="B10101" s="4" t="n">
        <v>64073</v>
      </c>
      <c r="C10101" s="4" t="n">
        <v>2777</v>
      </c>
      <c r="D10101" s="4" t="n">
        <v>840.0425</v>
      </c>
      <c r="E10101" s="5" t="n">
        <v>76.3</v>
      </c>
      <c r="F10101" s="3" t="inlineStr">
        <is>
          <t>조치원읍</t>
        </is>
      </c>
      <c r="G10101" s="3" t="inlineStr">
        <is>
          <t>신안리</t>
        </is>
      </c>
      <c r="H10101" s="3" t="inlineStr">
        <is>
          <t>자연녹지지역</t>
        </is>
      </c>
      <c r="I10101" s="3" t="inlineStr">
        <is>
          <t>전</t>
        </is>
      </c>
      <c r="J10101" s="3" t="inlineStr">
        <is>
          <t>조치원읍</t>
        </is>
      </c>
    </row>
    <row r="10102">
      <c r="A10102" s="3" t="n">
        <v>2022</v>
      </c>
      <c r="B10102" s="4" t="n">
        <v>7500</v>
      </c>
      <c r="C10102" s="4" t="n">
        <v>990</v>
      </c>
      <c r="D10102" s="4" t="n">
        <v>299.475</v>
      </c>
      <c r="E10102" s="5" t="n">
        <v>25</v>
      </c>
      <c r="F10102" s="3" t="inlineStr">
        <is>
          <t>유구읍</t>
        </is>
      </c>
      <c r="G10102" s="3" t="inlineStr">
        <is>
          <t>유구리</t>
        </is>
      </c>
      <c r="H10102" s="3" t="inlineStr">
        <is>
          <t>계획관리지역</t>
        </is>
      </c>
      <c r="I10102" s="3" t="inlineStr">
        <is>
          <t>전</t>
        </is>
      </c>
      <c r="J10102" s="3" t="inlineStr">
        <is>
          <t>유구읍</t>
        </is>
      </c>
    </row>
    <row r="10103">
      <c r="A10103" s="3" t="n">
        <v>2022</v>
      </c>
      <c r="B10103" s="4" t="n">
        <v>10000</v>
      </c>
      <c r="C10103" s="4" t="n">
        <v>899</v>
      </c>
      <c r="D10103" s="4" t="n">
        <v>271.9475</v>
      </c>
      <c r="E10103" s="5" t="n">
        <v>36.8</v>
      </c>
      <c r="F10103" s="3" t="inlineStr">
        <is>
          <t>유구읍</t>
        </is>
      </c>
      <c r="G10103" s="3" t="inlineStr">
        <is>
          <t>문금리</t>
        </is>
      </c>
      <c r="H10103" s="3" t="inlineStr">
        <is>
          <t>계획관리지역</t>
        </is>
      </c>
      <c r="I10103" s="3" t="inlineStr">
        <is>
          <t>전</t>
        </is>
      </c>
      <c r="J10103" s="3" t="inlineStr">
        <is>
          <t>유구읍</t>
        </is>
      </c>
    </row>
    <row r="10104">
      <c r="A10104" s="3" t="n">
        <v>2022</v>
      </c>
      <c r="B10104" s="4" t="n">
        <v>4000</v>
      </c>
      <c r="C10104" s="4" t="n">
        <v>917</v>
      </c>
      <c r="D10104" s="4" t="n">
        <v>277.3925</v>
      </c>
      <c r="E10104" s="5" t="n">
        <v>14.4</v>
      </c>
      <c r="F10104" s="3" t="inlineStr">
        <is>
          <t>유구읍</t>
        </is>
      </c>
      <c r="G10104" s="3" t="inlineStr">
        <is>
          <t>석남리</t>
        </is>
      </c>
      <c r="H10104" s="3" t="inlineStr">
        <is>
          <t>계획관리지역</t>
        </is>
      </c>
      <c r="I10104" s="3" t="inlineStr">
        <is>
          <t>답</t>
        </is>
      </c>
      <c r="J10104" s="3" t="inlineStr">
        <is>
          <t>유구읍</t>
        </is>
      </c>
    </row>
    <row r="10105">
      <c r="A10105" s="3" t="n">
        <v>2022</v>
      </c>
      <c r="B10105" s="4" t="n">
        <v>4000</v>
      </c>
      <c r="C10105" s="4" t="n">
        <v>1388</v>
      </c>
      <c r="D10105" s="4" t="n">
        <v>419.87</v>
      </c>
      <c r="E10105" s="5" t="n">
        <v>9.5</v>
      </c>
      <c r="F10105" s="3" t="inlineStr">
        <is>
          <t>유구읍</t>
        </is>
      </c>
      <c r="G10105" s="3" t="inlineStr">
        <is>
          <t>석남리</t>
        </is>
      </c>
      <c r="H10105" s="3" t="inlineStr">
        <is>
          <t>계획관리지역</t>
        </is>
      </c>
      <c r="I10105" s="3" t="inlineStr">
        <is>
          <t>답</t>
        </is>
      </c>
      <c r="J10105" s="3" t="inlineStr">
        <is>
          <t>유구읍</t>
        </is>
      </c>
    </row>
    <row r="10106">
      <c r="A10106" s="3" t="n">
        <v>2022</v>
      </c>
      <c r="B10106" s="4" t="n">
        <v>300</v>
      </c>
      <c r="C10106" s="4" t="n">
        <v>112</v>
      </c>
      <c r="D10106" s="4" t="n">
        <v>33.88</v>
      </c>
      <c r="E10106" s="5" t="n">
        <v>8.9</v>
      </c>
      <c r="F10106" s="3" t="inlineStr">
        <is>
          <t>유구읍</t>
        </is>
      </c>
      <c r="G10106" s="3" t="inlineStr">
        <is>
          <t>유구리</t>
        </is>
      </c>
      <c r="H10106" s="3" t="inlineStr">
        <is>
          <t>농림지역</t>
        </is>
      </c>
      <c r="I10106" s="3" t="inlineStr">
        <is>
          <t>전</t>
        </is>
      </c>
      <c r="J10106" s="3" t="inlineStr">
        <is>
          <t>유구읍</t>
        </is>
      </c>
    </row>
    <row r="10107">
      <c r="A10107" s="3" t="n">
        <v>2022</v>
      </c>
      <c r="B10107" s="4" t="n">
        <v>6300</v>
      </c>
      <c r="C10107" s="4" t="n">
        <v>2182</v>
      </c>
      <c r="D10107" s="4" t="n">
        <v>660.0549999999999</v>
      </c>
      <c r="E10107" s="5" t="n">
        <v>9.5</v>
      </c>
      <c r="F10107" s="3" t="inlineStr">
        <is>
          <t>유구읍</t>
        </is>
      </c>
      <c r="G10107" s="3" t="inlineStr">
        <is>
          <t>유구리</t>
        </is>
      </c>
      <c r="H10107" s="3" t="inlineStr">
        <is>
          <t>농림지역</t>
        </is>
      </c>
      <c r="I10107" s="3" t="inlineStr">
        <is>
          <t>답</t>
        </is>
      </c>
      <c r="J10107" s="3" t="inlineStr">
        <is>
          <t>유구읍</t>
        </is>
      </c>
    </row>
    <row r="10108">
      <c r="A10108" s="3" t="n">
        <v>2022</v>
      </c>
      <c r="B10108" s="4" t="n">
        <v>4000</v>
      </c>
      <c r="C10108" s="4" t="n">
        <v>1484</v>
      </c>
      <c r="D10108" s="4" t="n">
        <v>448.91</v>
      </c>
      <c r="E10108" s="5" t="n">
        <v>8.9</v>
      </c>
      <c r="F10108" s="3" t="inlineStr">
        <is>
          <t>유구읍</t>
        </is>
      </c>
      <c r="G10108" s="3" t="inlineStr">
        <is>
          <t>추계리</t>
        </is>
      </c>
      <c r="H10108" s="3" t="inlineStr">
        <is>
          <t>보전관리지역</t>
        </is>
      </c>
      <c r="I10108" s="3" t="inlineStr">
        <is>
          <t>전</t>
        </is>
      </c>
      <c r="J10108" s="3" t="inlineStr">
        <is>
          <t>유구읍</t>
        </is>
      </c>
    </row>
    <row r="10109">
      <c r="A10109" s="3" t="n">
        <v>2022</v>
      </c>
      <c r="B10109" s="4" t="n">
        <v>600</v>
      </c>
      <c r="C10109" s="4" t="n">
        <v>430</v>
      </c>
      <c r="D10109" s="4" t="n">
        <v>130.075</v>
      </c>
      <c r="E10109" s="5" t="n">
        <v>4.6</v>
      </c>
      <c r="F10109" s="3" t="inlineStr">
        <is>
          <t>유구읍</t>
        </is>
      </c>
      <c r="G10109" s="3" t="inlineStr">
        <is>
          <t>만천리</t>
        </is>
      </c>
      <c r="H10109" s="3" t="inlineStr">
        <is>
          <t>계획관리지역</t>
        </is>
      </c>
      <c r="I10109" s="3" t="inlineStr">
        <is>
          <t>답</t>
        </is>
      </c>
      <c r="J10109" s="3" t="inlineStr">
        <is>
          <t>유구읍</t>
        </is>
      </c>
    </row>
    <row r="10110">
      <c r="A10110" s="3" t="n">
        <v>2022</v>
      </c>
      <c r="B10110" s="4" t="n">
        <v>900</v>
      </c>
      <c r="C10110" s="4" t="n">
        <v>294</v>
      </c>
      <c r="D10110" s="4" t="n">
        <v>88.935</v>
      </c>
      <c r="E10110" s="5" t="n">
        <v>10.1</v>
      </c>
      <c r="F10110" s="3" t="inlineStr">
        <is>
          <t>유구읍</t>
        </is>
      </c>
      <c r="G10110" s="3" t="inlineStr">
        <is>
          <t>신영리</t>
        </is>
      </c>
      <c r="H10110" s="3" t="inlineStr">
        <is>
          <t>보전관리지역</t>
        </is>
      </c>
      <c r="I10110" s="3" t="inlineStr">
        <is>
          <t>전</t>
        </is>
      </c>
      <c r="J10110" s="3" t="inlineStr">
        <is>
          <t>유구읍</t>
        </is>
      </c>
    </row>
    <row r="10111">
      <c r="A10111" s="3" t="n">
        <v>2022</v>
      </c>
      <c r="B10111" s="4" t="n">
        <v>4450</v>
      </c>
      <c r="C10111" s="4" t="n">
        <v>831</v>
      </c>
      <c r="D10111" s="4" t="n">
        <v>251.3775</v>
      </c>
      <c r="E10111" s="5" t="n">
        <v>17.7</v>
      </c>
      <c r="F10111" s="3" t="inlineStr">
        <is>
          <t>유구읍</t>
        </is>
      </c>
      <c r="G10111" s="3" t="inlineStr">
        <is>
          <t>구계리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유구읍</t>
        </is>
      </c>
    </row>
    <row r="10112">
      <c r="A10112" s="3" t="n">
        <v>2022</v>
      </c>
      <c r="B10112" s="4" t="n">
        <v>10000</v>
      </c>
      <c r="C10112" s="4" t="n">
        <v>3610</v>
      </c>
      <c r="D10112" s="4" t="n">
        <v>1092.025</v>
      </c>
      <c r="E10112" s="5" t="n">
        <v>9.199999999999999</v>
      </c>
      <c r="F10112" s="3" t="inlineStr">
        <is>
          <t>유구읍</t>
        </is>
      </c>
      <c r="G10112" s="3" t="inlineStr">
        <is>
          <t>신영리</t>
        </is>
      </c>
      <c r="H10112" s="3" t="inlineStr">
        <is>
          <t>보전관리지역</t>
        </is>
      </c>
      <c r="I10112" s="3" t="inlineStr">
        <is>
          <t>답</t>
        </is>
      </c>
      <c r="J10112" s="3" t="inlineStr">
        <is>
          <t>유구읍</t>
        </is>
      </c>
    </row>
    <row r="10113">
      <c r="A10113" s="3" t="n">
        <v>2022</v>
      </c>
      <c r="B10113" s="4" t="n">
        <v>4200</v>
      </c>
      <c r="C10113" s="4" t="n">
        <v>825</v>
      </c>
      <c r="D10113" s="4" t="n">
        <v>249.5625</v>
      </c>
      <c r="E10113" s="5" t="n">
        <v>16.8</v>
      </c>
      <c r="F10113" s="3" t="inlineStr">
        <is>
          <t>유구읍</t>
        </is>
      </c>
      <c r="G10113" s="3" t="inlineStr">
        <is>
          <t>연종리</t>
        </is>
      </c>
      <c r="H10113" s="3" t="inlineStr">
        <is>
          <t>농림지역</t>
        </is>
      </c>
      <c r="I10113" s="3" t="inlineStr">
        <is>
          <t>답</t>
        </is>
      </c>
      <c r="J10113" s="3" t="inlineStr">
        <is>
          <t>유구읍</t>
        </is>
      </c>
    </row>
    <row r="10114">
      <c r="A10114" s="3" t="n">
        <v>2022</v>
      </c>
      <c r="B10114" s="4" t="n">
        <v>26000</v>
      </c>
      <c r="C10114" s="4" t="n">
        <v>25651</v>
      </c>
      <c r="D10114" s="4" t="n">
        <v>7759.4275</v>
      </c>
      <c r="E10114" s="5" t="n">
        <v>3.4</v>
      </c>
      <c r="F10114" s="3" t="inlineStr">
        <is>
          <t>유구읍</t>
        </is>
      </c>
      <c r="G10114" s="3" t="inlineStr">
        <is>
          <t>만천리</t>
        </is>
      </c>
      <c r="H10114" s="3" t="inlineStr">
        <is>
          <t>계획관리지역</t>
        </is>
      </c>
      <c r="I10114" s="3" t="inlineStr">
        <is>
          <t>임야</t>
        </is>
      </c>
      <c r="J10114" s="3" t="inlineStr">
        <is>
          <t>유구읍</t>
        </is>
      </c>
    </row>
    <row r="10115">
      <c r="A10115" s="3" t="n">
        <v>2022</v>
      </c>
      <c r="B10115" s="4" t="n">
        <v>4000</v>
      </c>
      <c r="C10115" s="4" t="n">
        <v>2380</v>
      </c>
      <c r="D10115" s="4" t="n">
        <v>719.9499999999999</v>
      </c>
      <c r="E10115" s="5" t="n">
        <v>5.6</v>
      </c>
      <c r="F10115" s="3" t="inlineStr">
        <is>
          <t>유구읍</t>
        </is>
      </c>
      <c r="G10115" s="3" t="inlineStr">
        <is>
          <t>만천리</t>
        </is>
      </c>
      <c r="H10115" s="3" t="inlineStr">
        <is>
          <t>계획관리지역</t>
        </is>
      </c>
      <c r="I10115" s="3" t="inlineStr">
        <is>
          <t>임야</t>
        </is>
      </c>
      <c r="J10115" s="3" t="inlineStr">
        <is>
          <t>유구읍</t>
        </is>
      </c>
    </row>
    <row r="10116">
      <c r="A10116" s="3" t="n">
        <v>2024</v>
      </c>
      <c r="B10116" s="4" t="n">
        <v>4900</v>
      </c>
      <c r="C10116" s="4" t="n">
        <v>544</v>
      </c>
      <c r="D10116" s="4" t="n">
        <v>164.56</v>
      </c>
      <c r="E10116" s="5" t="n">
        <v>29.8</v>
      </c>
      <c r="F10116" s="3" t="inlineStr">
        <is>
          <t>유구읍</t>
        </is>
      </c>
      <c r="G10116" s="3" t="inlineStr">
        <is>
          <t>녹천리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유구읍</t>
        </is>
      </c>
    </row>
    <row r="10117">
      <c r="A10117" s="3" t="n">
        <v>2025</v>
      </c>
      <c r="B10117" s="4" t="n">
        <v>8000</v>
      </c>
      <c r="C10117" s="4" t="n">
        <v>116</v>
      </c>
      <c r="D10117" s="4" t="n">
        <v>35.09</v>
      </c>
      <c r="E10117" s="5" t="n">
        <v>228</v>
      </c>
      <c r="F10117" s="3" t="inlineStr">
        <is>
          <t>장군면</t>
        </is>
      </c>
      <c r="G10117" s="3" t="inlineStr">
        <is>
          <t>송문리</t>
        </is>
      </c>
      <c r="H10117" s="3" t="inlineStr">
        <is>
          <t>계획관리지역</t>
        </is>
      </c>
      <c r="I10117" s="3" t="inlineStr">
        <is>
          <t>대</t>
        </is>
      </c>
      <c r="J10117" s="3" t="inlineStr">
        <is>
          <t>장군면</t>
        </is>
      </c>
    </row>
    <row r="10118">
      <c r="A10118" s="3" t="n">
        <v>2025</v>
      </c>
      <c r="B10118" s="4" t="n">
        <v>9840</v>
      </c>
      <c r="C10118" s="4" t="n">
        <v>1627</v>
      </c>
      <c r="D10118" s="4" t="n">
        <v>492.1675</v>
      </c>
      <c r="E10118" s="5" t="n">
        <v>20</v>
      </c>
      <c r="F10118" s="3" t="inlineStr">
        <is>
          <t>전의면</t>
        </is>
      </c>
      <c r="G10118" s="3" t="inlineStr">
        <is>
          <t>다방리</t>
        </is>
      </c>
      <c r="H10118" s="3" t="inlineStr">
        <is>
          <t>농림지역</t>
        </is>
      </c>
      <c r="I10118" s="3" t="inlineStr">
        <is>
          <t>전</t>
        </is>
      </c>
      <c r="J10118" s="3" t="inlineStr">
        <is>
          <t>전의면</t>
        </is>
      </c>
    </row>
    <row r="10119">
      <c r="A10119" s="3" t="n">
        <v>2025</v>
      </c>
      <c r="B10119" s="4" t="n">
        <v>2540</v>
      </c>
      <c r="C10119" s="4" t="n">
        <v>7</v>
      </c>
      <c r="D10119" s="4" t="n">
        <v>2.1175</v>
      </c>
      <c r="E10119" s="5" t="n">
        <v>1199.5</v>
      </c>
      <c r="F10119" s="3" t="inlineStr">
        <is>
          <t>조치원읍</t>
        </is>
      </c>
      <c r="G10119" s="3" t="inlineStr">
        <is>
          <t>명리</t>
        </is>
      </c>
      <c r="H10119" s="3" t="inlineStr">
        <is>
          <t>일반상업지역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2025</v>
      </c>
      <c r="B10120" s="4" t="n">
        <v>1100</v>
      </c>
      <c r="C10120" s="4" t="n">
        <v>73</v>
      </c>
      <c r="D10120" s="4" t="n">
        <v>22.0825</v>
      </c>
      <c r="E10120" s="5" t="n">
        <v>49.8</v>
      </c>
      <c r="F10120" s="3" t="inlineStr">
        <is>
          <t>장군면</t>
        </is>
      </c>
      <c r="G10120" s="3" t="inlineStr">
        <is>
          <t>금암리</t>
        </is>
      </c>
      <c r="H10120" s="3" t="inlineStr">
        <is>
          <t>계획관리지역</t>
        </is>
      </c>
      <c r="I10120" s="3" t="inlineStr">
        <is>
          <t>하천</t>
        </is>
      </c>
      <c r="J10120" s="3" t="inlineStr">
        <is>
          <t>장군면</t>
        </is>
      </c>
    </row>
    <row r="10121">
      <c r="A10121" s="3" t="n">
        <v>2025</v>
      </c>
      <c r="B10121" s="4" t="n">
        <v>37027</v>
      </c>
      <c r="C10121" s="4" t="n">
        <v>814</v>
      </c>
      <c r="D10121" s="4" t="n">
        <v>246.235</v>
      </c>
      <c r="E10121" s="5" t="n">
        <v>150.4</v>
      </c>
      <c r="F10121" s="3" t="inlineStr">
        <is>
          <t>장군면</t>
        </is>
      </c>
      <c r="G10121" s="3" t="inlineStr">
        <is>
          <t>도계리</t>
        </is>
      </c>
      <c r="H10121" s="3" t="inlineStr">
        <is>
          <t>보전관리지역</t>
        </is>
      </c>
      <c r="I10121" s="3" t="inlineStr">
        <is>
          <t>임야</t>
        </is>
      </c>
      <c r="J10121" s="3" t="inlineStr">
        <is>
          <t>장군면</t>
        </is>
      </c>
    </row>
    <row r="10122">
      <c r="A10122" s="3" t="n">
        <v>2023</v>
      </c>
      <c r="B10122" s="4" t="n">
        <v>7616</v>
      </c>
      <c r="C10122" s="4" t="n">
        <v>280</v>
      </c>
      <c r="D10122" s="4" t="n">
        <v>84.7</v>
      </c>
      <c r="E10122" s="5" t="n">
        <v>89.90000000000001</v>
      </c>
      <c r="F10122" s="3" t="inlineStr">
        <is>
          <t>전의면</t>
        </is>
      </c>
      <c r="G10122" s="3" t="inlineStr">
        <is>
          <t>서정리</t>
        </is>
      </c>
      <c r="H10122" s="3" t="inlineStr">
        <is>
          <t>계획관리지역</t>
        </is>
      </c>
      <c r="I10122" s="3" t="inlineStr">
        <is>
          <t>대</t>
        </is>
      </c>
      <c r="J10122" s="3" t="inlineStr">
        <is>
          <t>전의면</t>
        </is>
      </c>
    </row>
    <row r="10123">
      <c r="A10123" s="3" t="n">
        <v>2023</v>
      </c>
      <c r="B10123" s="4" t="n">
        <v>27</v>
      </c>
      <c r="C10123" s="4" t="n">
        <v>1</v>
      </c>
      <c r="D10123" s="4" t="n">
        <v>0.3025</v>
      </c>
      <c r="E10123" s="5" t="n">
        <v>89.3</v>
      </c>
      <c r="F10123" s="3" t="inlineStr">
        <is>
          <t>전의면</t>
        </is>
      </c>
      <c r="G10123" s="3" t="inlineStr">
        <is>
          <t>서정리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전의면</t>
        </is>
      </c>
    </row>
    <row r="10124">
      <c r="A10124" s="3" t="n">
        <v>2023</v>
      </c>
      <c r="B10124" s="4" t="n">
        <v>5957</v>
      </c>
      <c r="C10124" s="4" t="n">
        <v>219</v>
      </c>
      <c r="D10124" s="4" t="n">
        <v>66.2475</v>
      </c>
      <c r="E10124" s="5" t="n">
        <v>89.90000000000001</v>
      </c>
      <c r="F10124" s="3" t="inlineStr">
        <is>
          <t>전의면</t>
        </is>
      </c>
      <c r="G10124" s="3" t="inlineStr">
        <is>
          <t>서정리</t>
        </is>
      </c>
      <c r="H10124" s="3" t="inlineStr">
        <is>
          <t>계획관리지역</t>
        </is>
      </c>
      <c r="I10124" s="3" t="inlineStr">
        <is>
          <t>대</t>
        </is>
      </c>
      <c r="J10124" s="3" t="inlineStr">
        <is>
          <t>전의면</t>
        </is>
      </c>
    </row>
    <row r="10125">
      <c r="A10125" s="3" t="n">
        <v>2023</v>
      </c>
      <c r="B10125" s="4" t="n">
        <v>408</v>
      </c>
      <c r="C10125" s="4" t="n">
        <v>15</v>
      </c>
      <c r="D10125" s="4" t="n">
        <v>4.5375</v>
      </c>
      <c r="E10125" s="5" t="n">
        <v>89.90000000000001</v>
      </c>
      <c r="F10125" s="3" t="inlineStr">
        <is>
          <t>전의면</t>
        </is>
      </c>
      <c r="G10125" s="3" t="inlineStr">
        <is>
          <t>서정리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전의면</t>
        </is>
      </c>
    </row>
    <row r="10126">
      <c r="A10126" s="3" t="n">
        <v>2023</v>
      </c>
      <c r="B10126" s="4" t="n">
        <v>9792</v>
      </c>
      <c r="C10126" s="4" t="n">
        <v>360</v>
      </c>
      <c r="D10126" s="4" t="n">
        <v>108.9</v>
      </c>
      <c r="E10126" s="5" t="n">
        <v>89.90000000000001</v>
      </c>
      <c r="F10126" s="3" t="inlineStr">
        <is>
          <t>전의면</t>
        </is>
      </c>
      <c r="G10126" s="3" t="inlineStr">
        <is>
          <t>서정리</t>
        </is>
      </c>
      <c r="H10126" s="3" t="inlineStr">
        <is>
          <t>계획관리지역</t>
        </is>
      </c>
      <c r="I10126" s="3" t="inlineStr">
        <is>
          <t>대</t>
        </is>
      </c>
      <c r="J10126" s="3" t="inlineStr">
        <is>
          <t>전의면</t>
        </is>
      </c>
    </row>
    <row r="10127">
      <c r="A10127" s="3" t="n">
        <v>2023</v>
      </c>
      <c r="B10127" s="4" t="n">
        <v>190</v>
      </c>
      <c r="C10127" s="4" t="n">
        <v>7</v>
      </c>
      <c r="D10127" s="4" t="n">
        <v>2.1175</v>
      </c>
      <c r="E10127" s="5" t="n">
        <v>89.7</v>
      </c>
      <c r="F10127" s="3" t="inlineStr">
        <is>
          <t>전의면</t>
        </is>
      </c>
      <c r="G10127" s="3" t="inlineStr">
        <is>
          <t>서정리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전의면</t>
        </is>
      </c>
    </row>
    <row r="10128">
      <c r="A10128" s="3" t="n">
        <v>2023</v>
      </c>
      <c r="B10128" s="4" t="n">
        <v>3210</v>
      </c>
      <c r="C10128" s="4" t="n">
        <v>118</v>
      </c>
      <c r="D10128" s="4" t="n">
        <v>35.695</v>
      </c>
      <c r="E10128" s="5" t="n">
        <v>89.90000000000001</v>
      </c>
      <c r="F10128" s="3" t="inlineStr">
        <is>
          <t>전의면</t>
        </is>
      </c>
      <c r="G10128" s="3" t="inlineStr">
        <is>
          <t>서정리</t>
        </is>
      </c>
      <c r="H10128" s="3" t="inlineStr">
        <is>
          <t>계획관리지역</t>
        </is>
      </c>
      <c r="I10128" s="3" t="inlineStr">
        <is>
          <t>대</t>
        </is>
      </c>
      <c r="J10128" s="3" t="inlineStr">
        <is>
          <t>전의면</t>
        </is>
      </c>
    </row>
    <row r="10129">
      <c r="A10129" s="3" t="n">
        <v>2023</v>
      </c>
      <c r="B10129" s="4" t="n">
        <v>14940</v>
      </c>
      <c r="C10129" s="4" t="n">
        <v>550</v>
      </c>
      <c r="D10129" s="4" t="n">
        <v>166.375</v>
      </c>
      <c r="E10129" s="5" t="n">
        <v>89.8</v>
      </c>
      <c r="F10129" s="3" t="inlineStr">
        <is>
          <t>전의면</t>
        </is>
      </c>
      <c r="G10129" s="3" t="inlineStr">
        <is>
          <t>서정리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전의면</t>
        </is>
      </c>
    </row>
    <row r="10130">
      <c r="A10130" s="3" t="n">
        <v>2023</v>
      </c>
      <c r="B10130" s="4" t="n">
        <v>30000</v>
      </c>
      <c r="C10130" s="4" t="n">
        <v>660</v>
      </c>
      <c r="D10130" s="4" t="n">
        <v>199.65</v>
      </c>
      <c r="E10130" s="5" t="n">
        <v>150.3</v>
      </c>
      <c r="F10130" s="3" t="inlineStr">
        <is>
          <t>부강면</t>
        </is>
      </c>
      <c r="G10130" s="3" t="inlineStr">
        <is>
          <t>금호리</t>
        </is>
      </c>
      <c r="H10130" s="3" t="inlineStr">
        <is>
          <t>계획관리지역</t>
        </is>
      </c>
      <c r="I10130" s="3" t="inlineStr">
        <is>
          <t>전</t>
        </is>
      </c>
      <c r="J10130" s="3" t="inlineStr">
        <is>
          <t>부강면</t>
        </is>
      </c>
    </row>
    <row r="10131">
      <c r="A10131" s="3" t="n">
        <v>2023</v>
      </c>
      <c r="B10131" s="4" t="n">
        <v>20000</v>
      </c>
      <c r="C10131" s="4" t="n">
        <v>441</v>
      </c>
      <c r="D10131" s="4" t="n">
        <v>133.4025</v>
      </c>
      <c r="E10131" s="5" t="n">
        <v>149.9</v>
      </c>
      <c r="F10131" s="3" t="inlineStr">
        <is>
          <t>부강면</t>
        </is>
      </c>
      <c r="G10131" s="3" t="inlineStr">
        <is>
          <t>금호리</t>
        </is>
      </c>
      <c r="H10131" s="3" t="inlineStr">
        <is>
          <t>계획관리지역</t>
        </is>
      </c>
      <c r="I10131" s="3" t="inlineStr">
        <is>
          <t>전</t>
        </is>
      </c>
      <c r="J10131" s="3" t="inlineStr">
        <is>
          <t>부강면</t>
        </is>
      </c>
    </row>
    <row r="10132">
      <c r="A10132" s="3" t="n">
        <v>2023</v>
      </c>
      <c r="B10132" s="4" t="n">
        <v>1000</v>
      </c>
      <c r="C10132" s="4" t="n">
        <v>19</v>
      </c>
      <c r="D10132" s="4" t="n">
        <v>5.7475</v>
      </c>
      <c r="E10132" s="5" t="n">
        <v>174</v>
      </c>
      <c r="F10132" s="3" t="inlineStr">
        <is>
          <t>장군면</t>
        </is>
      </c>
      <c r="G10132" s="3" t="inlineStr">
        <is>
          <t>송문리</t>
        </is>
      </c>
      <c r="H10132" s="3" t="inlineStr">
        <is>
          <t>계획관리지역</t>
        </is>
      </c>
      <c r="I10132" s="3" t="inlineStr">
        <is>
          <t>전</t>
        </is>
      </c>
      <c r="J10132" s="3" t="inlineStr">
        <is>
          <t>장군면</t>
        </is>
      </c>
    </row>
    <row r="10133">
      <c r="A10133" s="3" t="n">
        <v>2023</v>
      </c>
      <c r="B10133" s="4" t="n">
        <v>230000</v>
      </c>
      <c r="C10133" s="4" t="n">
        <v>549</v>
      </c>
      <c r="D10133" s="4" t="n">
        <v>166.0725</v>
      </c>
      <c r="E10133" s="5" t="n">
        <v>1384.9</v>
      </c>
      <c r="F10133" s="3" t="inlineStr">
        <is>
          <t>다정동</t>
        </is>
      </c>
      <c r="G10133" s="3" t="inlineStr"/>
      <c r="H10133" s="3" t="inlineStr">
        <is>
          <t>제1종전용주거지역</t>
        </is>
      </c>
      <c r="I10133" s="3" t="inlineStr">
        <is>
          <t>대</t>
        </is>
      </c>
      <c r="J10133" s="3" t="inlineStr">
        <is>
          <t>다정동</t>
        </is>
      </c>
    </row>
    <row r="10134">
      <c r="A10134" s="3" t="n">
        <v>2023</v>
      </c>
      <c r="B10134" s="4" t="n">
        <v>13000</v>
      </c>
      <c r="C10134" s="4" t="n">
        <v>853</v>
      </c>
      <c r="D10134" s="4" t="n">
        <v>258.0325</v>
      </c>
      <c r="E10134" s="5" t="n">
        <v>50.4</v>
      </c>
      <c r="F10134" s="3" t="inlineStr">
        <is>
          <t>장군면</t>
        </is>
      </c>
      <c r="G10134" s="3" t="inlineStr">
        <is>
          <t>금암리</t>
        </is>
      </c>
      <c r="H10134" s="3" t="inlineStr">
        <is>
          <t>계획관리지역</t>
        </is>
      </c>
      <c r="I10134" s="3" t="inlineStr">
        <is>
          <t>전</t>
        </is>
      </c>
      <c r="J10134" s="3" t="inlineStr">
        <is>
          <t>장군면</t>
        </is>
      </c>
    </row>
    <row r="10135">
      <c r="A10135" s="3" t="n">
        <v>2023</v>
      </c>
      <c r="B10135" s="4" t="n">
        <v>2000</v>
      </c>
      <c r="C10135" s="4" t="n">
        <v>139</v>
      </c>
      <c r="D10135" s="4" t="n">
        <v>42.0475</v>
      </c>
      <c r="E10135" s="5" t="n">
        <v>47.6</v>
      </c>
      <c r="F10135" s="3" t="inlineStr">
        <is>
          <t>장군면</t>
        </is>
      </c>
      <c r="G10135" s="3" t="inlineStr">
        <is>
          <t>금암리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장군면</t>
        </is>
      </c>
    </row>
    <row r="10136">
      <c r="A10136" s="3" t="n">
        <v>2023</v>
      </c>
      <c r="B10136" s="4" t="n">
        <v>8300</v>
      </c>
      <c r="C10136" s="4" t="n">
        <v>2258</v>
      </c>
      <c r="D10136" s="4" t="n">
        <v>683.045</v>
      </c>
      <c r="E10136" s="5" t="n">
        <v>12.2</v>
      </c>
      <c r="F10136" s="3" t="inlineStr">
        <is>
          <t>전의면</t>
        </is>
      </c>
      <c r="G10136" s="3" t="inlineStr">
        <is>
          <t>관정리</t>
        </is>
      </c>
      <c r="H10136" s="3" t="inlineStr">
        <is>
          <t>계획관리지역</t>
        </is>
      </c>
      <c r="I10136" s="3" t="inlineStr">
        <is>
          <t>답</t>
        </is>
      </c>
      <c r="J10136" s="3" t="inlineStr">
        <is>
          <t>전의면</t>
        </is>
      </c>
    </row>
    <row r="10137">
      <c r="A10137" s="3" t="n">
        <v>2023</v>
      </c>
      <c r="B10137" s="4" t="n">
        <v>7500</v>
      </c>
      <c r="C10137" s="4" t="n">
        <v>602</v>
      </c>
      <c r="D10137" s="4" t="n">
        <v>182.105</v>
      </c>
      <c r="E10137" s="5" t="n">
        <v>41.2</v>
      </c>
      <c r="F10137" s="3" t="inlineStr">
        <is>
          <t>전의면</t>
        </is>
      </c>
      <c r="G10137" s="3" t="inlineStr">
        <is>
          <t>관정리</t>
        </is>
      </c>
      <c r="H10137" s="3" t="inlineStr">
        <is>
          <t>계획관리지역</t>
        </is>
      </c>
      <c r="I10137" s="3" t="inlineStr">
        <is>
          <t>대</t>
        </is>
      </c>
      <c r="J10137" s="3" t="inlineStr">
        <is>
          <t>전의면</t>
        </is>
      </c>
    </row>
    <row r="10138">
      <c r="A10138" s="3" t="n">
        <v>2023</v>
      </c>
      <c r="B10138" s="4" t="n">
        <v>30900</v>
      </c>
      <c r="C10138" s="4" t="n">
        <v>450</v>
      </c>
      <c r="D10138" s="4" t="n">
        <v>136.125</v>
      </c>
      <c r="E10138" s="5" t="n">
        <v>227</v>
      </c>
      <c r="F10138" s="3" t="inlineStr">
        <is>
          <t>장군면</t>
        </is>
      </c>
      <c r="G10138" s="3" t="inlineStr">
        <is>
          <t>대교리</t>
        </is>
      </c>
      <c r="H10138" s="3" t="inlineStr">
        <is>
          <t>보전관리지역</t>
        </is>
      </c>
      <c r="I10138" s="3" t="inlineStr">
        <is>
          <t>대</t>
        </is>
      </c>
      <c r="J10138" s="3" t="inlineStr">
        <is>
          <t>장군면</t>
        </is>
      </c>
    </row>
    <row r="10139">
      <c r="A10139" s="3" t="n">
        <v>2025</v>
      </c>
      <c r="B10139" s="4" t="n">
        <v>4620</v>
      </c>
      <c r="C10139" s="4" t="n">
        <v>874</v>
      </c>
      <c r="D10139" s="4" t="n">
        <v>264.385</v>
      </c>
      <c r="E10139" s="5" t="n">
        <v>17.5</v>
      </c>
      <c r="F10139" s="3" t="inlineStr">
        <is>
          <t>유구읍</t>
        </is>
      </c>
      <c r="G10139" s="3" t="inlineStr">
        <is>
          <t>세동리</t>
        </is>
      </c>
      <c r="H10139" s="3" t="inlineStr">
        <is>
          <t>계획관리지역</t>
        </is>
      </c>
      <c r="I10139" s="3" t="inlineStr">
        <is>
          <t>답</t>
        </is>
      </c>
      <c r="J10139" s="3" t="inlineStr">
        <is>
          <t>유구읍</t>
        </is>
      </c>
    </row>
    <row r="10140">
      <c r="A10140" s="3" t="n">
        <v>2024</v>
      </c>
      <c r="B10140" s="4" t="n">
        <v>12287</v>
      </c>
      <c r="C10140" s="4" t="n">
        <v>836</v>
      </c>
      <c r="D10140" s="4" t="n">
        <v>252.89</v>
      </c>
      <c r="E10140" s="5" t="n">
        <v>48.6</v>
      </c>
      <c r="F10140" s="3" t="inlineStr">
        <is>
          <t>전동면</t>
        </is>
      </c>
      <c r="G10140" s="3" t="inlineStr">
        <is>
          <t>청람리</t>
        </is>
      </c>
      <c r="H10140" s="3" t="inlineStr">
        <is>
          <t>계획관리지역</t>
        </is>
      </c>
      <c r="I10140" s="3" t="inlineStr">
        <is>
          <t>답</t>
        </is>
      </c>
      <c r="J10140" s="3" t="inlineStr">
        <is>
          <t>전동면</t>
        </is>
      </c>
    </row>
    <row r="10141">
      <c r="A10141" s="3" t="n">
        <v>2025</v>
      </c>
      <c r="B10141" s="4" t="n">
        <v>40000</v>
      </c>
      <c r="C10141" s="4" t="n">
        <v>232</v>
      </c>
      <c r="D10141" s="4" t="n">
        <v>70.17999999999999</v>
      </c>
      <c r="E10141" s="5" t="n">
        <v>570</v>
      </c>
      <c r="F10141" s="3" t="inlineStr">
        <is>
          <t>조치원읍</t>
        </is>
      </c>
      <c r="G10141" s="3" t="inlineStr">
        <is>
          <t>신안리</t>
        </is>
      </c>
      <c r="H10141" s="3" t="inlineStr">
        <is>
          <t>제2종일반주거지역</t>
        </is>
      </c>
      <c r="I10141" s="3" t="inlineStr">
        <is>
          <t>창고용지</t>
        </is>
      </c>
      <c r="J10141" s="3" t="inlineStr">
        <is>
          <t>조치원읍</t>
        </is>
      </c>
    </row>
    <row r="10142">
      <c r="A10142" s="3" t="n">
        <v>2022</v>
      </c>
      <c r="B10142" s="4" t="n">
        <v>1245</v>
      </c>
      <c r="C10142" s="4" t="n">
        <v>298</v>
      </c>
      <c r="D10142" s="4" t="n">
        <v>90.145</v>
      </c>
      <c r="E10142" s="5" t="n">
        <v>13.8</v>
      </c>
      <c r="F10142" s="3" t="inlineStr">
        <is>
          <t>유구읍</t>
        </is>
      </c>
      <c r="G10142" s="3" t="inlineStr">
        <is>
          <t>녹천리</t>
        </is>
      </c>
      <c r="H10142" s="3" t="inlineStr">
        <is>
          <t>계획관리지역</t>
        </is>
      </c>
      <c r="I10142" s="3" t="inlineStr">
        <is>
          <t>하천</t>
        </is>
      </c>
      <c r="J10142" s="3" t="inlineStr">
        <is>
          <t>유구읍</t>
        </is>
      </c>
    </row>
    <row r="10143">
      <c r="A10143" s="3" t="n">
        <v>2022</v>
      </c>
      <c r="B10143" s="4" t="n">
        <v>2553</v>
      </c>
      <c r="C10143" s="4" t="n">
        <v>478</v>
      </c>
      <c r="D10143" s="4" t="n">
        <v>144.595</v>
      </c>
      <c r="E10143" s="5" t="n">
        <v>17.7</v>
      </c>
      <c r="F10143" s="3" t="inlineStr">
        <is>
          <t>유구읍</t>
        </is>
      </c>
      <c r="G10143" s="3" t="inlineStr">
        <is>
          <t>녹천리</t>
        </is>
      </c>
      <c r="H10143" s="3" t="inlineStr">
        <is>
          <t>계획관리지역</t>
        </is>
      </c>
      <c r="I10143" s="3" t="inlineStr">
        <is>
          <t>전</t>
        </is>
      </c>
      <c r="J10143" s="3" t="inlineStr">
        <is>
          <t>유구읍</t>
        </is>
      </c>
    </row>
    <row r="10144">
      <c r="A10144" s="3" t="n">
        <v>2022</v>
      </c>
      <c r="B10144" s="4" t="n">
        <v>3225</v>
      </c>
      <c r="C10144" s="4" t="n">
        <v>655</v>
      </c>
      <c r="D10144" s="4" t="n">
        <v>198.1375</v>
      </c>
      <c r="E10144" s="5" t="n">
        <v>16.3</v>
      </c>
      <c r="F10144" s="3" t="inlineStr">
        <is>
          <t>유구읍</t>
        </is>
      </c>
      <c r="G10144" s="3" t="inlineStr">
        <is>
          <t>녹천리</t>
        </is>
      </c>
      <c r="H10144" s="3" t="inlineStr">
        <is>
          <t>계획관리지역</t>
        </is>
      </c>
      <c r="I10144" s="3" t="inlineStr">
        <is>
          <t>답</t>
        </is>
      </c>
      <c r="J10144" s="3" t="inlineStr">
        <is>
          <t>유구읍</t>
        </is>
      </c>
    </row>
    <row r="10145">
      <c r="A10145" s="3" t="n">
        <v>2022</v>
      </c>
      <c r="B10145" s="4" t="n">
        <v>15166</v>
      </c>
      <c r="C10145" s="4" t="n">
        <v>3540</v>
      </c>
      <c r="D10145" s="4" t="n">
        <v>1070.85</v>
      </c>
      <c r="E10145" s="5" t="n">
        <v>14.2</v>
      </c>
      <c r="F10145" s="3" t="inlineStr">
        <is>
          <t>유구읍</t>
        </is>
      </c>
      <c r="G10145" s="3" t="inlineStr">
        <is>
          <t>녹천리</t>
        </is>
      </c>
      <c r="H10145" s="3" t="inlineStr">
        <is>
          <t>계획관리지역</t>
        </is>
      </c>
      <c r="I10145" s="3" t="inlineStr">
        <is>
          <t>답</t>
        </is>
      </c>
      <c r="J10145" s="3" t="inlineStr">
        <is>
          <t>유구읍</t>
        </is>
      </c>
    </row>
    <row r="10146">
      <c r="A10146" s="3" t="n">
        <v>2022</v>
      </c>
      <c r="B10146" s="4" t="n">
        <v>7811</v>
      </c>
      <c r="C10146" s="4" t="n">
        <v>1947</v>
      </c>
      <c r="D10146" s="4" t="n">
        <v>588.9675</v>
      </c>
      <c r="E10146" s="5" t="n">
        <v>13.3</v>
      </c>
      <c r="F10146" s="3" t="inlineStr">
        <is>
          <t>유구읍</t>
        </is>
      </c>
      <c r="G10146" s="3" t="inlineStr">
        <is>
          <t>녹천리</t>
        </is>
      </c>
      <c r="H10146" s="3" t="inlineStr">
        <is>
          <t>자연녹지지역</t>
        </is>
      </c>
      <c r="I10146" s="3" t="inlineStr">
        <is>
          <t>전</t>
        </is>
      </c>
      <c r="J10146" s="3" t="inlineStr">
        <is>
          <t>유구읍</t>
        </is>
      </c>
    </row>
    <row r="10147">
      <c r="A10147" s="3" t="n">
        <v>2022</v>
      </c>
      <c r="B10147" s="4" t="n">
        <v>16000</v>
      </c>
      <c r="C10147" s="4" t="n">
        <v>1410</v>
      </c>
      <c r="D10147" s="4" t="n">
        <v>426.525</v>
      </c>
      <c r="E10147" s="5" t="n">
        <v>37.5</v>
      </c>
      <c r="F10147" s="3" t="inlineStr">
        <is>
          <t>유구읍</t>
        </is>
      </c>
      <c r="G10147" s="3" t="inlineStr">
        <is>
          <t>백교리</t>
        </is>
      </c>
      <c r="H10147" s="3" t="inlineStr">
        <is>
          <t>제2종일반주거지역</t>
        </is>
      </c>
      <c r="I10147" s="3" t="inlineStr">
        <is>
          <t>답</t>
        </is>
      </c>
      <c r="J10147" s="3" t="inlineStr">
        <is>
          <t>유구읍</t>
        </is>
      </c>
    </row>
    <row r="10148">
      <c r="A10148" s="3" t="n">
        <v>2022</v>
      </c>
      <c r="B10148" s="4" t="n">
        <v>15000</v>
      </c>
      <c r="C10148" s="4" t="n">
        <v>2821</v>
      </c>
      <c r="D10148" s="4" t="n">
        <v>853.3525</v>
      </c>
      <c r="E10148" s="5" t="n">
        <v>17.6</v>
      </c>
      <c r="F10148" s="3" t="inlineStr">
        <is>
          <t>유구읍</t>
        </is>
      </c>
      <c r="G10148" s="3" t="inlineStr">
        <is>
          <t>신영리</t>
        </is>
      </c>
      <c r="H10148" s="3" t="inlineStr">
        <is>
          <t>보전관리지역</t>
        </is>
      </c>
      <c r="I10148" s="3" t="inlineStr">
        <is>
          <t>답</t>
        </is>
      </c>
      <c r="J10148" s="3" t="inlineStr">
        <is>
          <t>유구읍</t>
        </is>
      </c>
    </row>
    <row r="10149">
      <c r="A10149" s="3" t="n">
        <v>2023</v>
      </c>
      <c r="B10149" s="4" t="n">
        <v>9793</v>
      </c>
      <c r="C10149" s="4" t="n">
        <v>819</v>
      </c>
      <c r="D10149" s="4" t="n">
        <v>247.7475</v>
      </c>
      <c r="E10149" s="5" t="n">
        <v>39.5</v>
      </c>
      <c r="F10149" s="3" t="inlineStr">
        <is>
          <t>부강면</t>
        </is>
      </c>
      <c r="G10149" s="3" t="inlineStr">
        <is>
          <t>부강리</t>
        </is>
      </c>
      <c r="H10149" s="3" t="inlineStr">
        <is>
          <t>보전관리지역</t>
        </is>
      </c>
      <c r="I10149" s="3" t="inlineStr">
        <is>
          <t>전</t>
        </is>
      </c>
      <c r="J10149" s="3" t="inlineStr">
        <is>
          <t>부강면</t>
        </is>
      </c>
    </row>
    <row r="10150">
      <c r="A10150" s="3" t="n">
        <v>2023</v>
      </c>
      <c r="B10150" s="4" t="n">
        <v>52541</v>
      </c>
      <c r="C10150" s="4" t="n">
        <v>4395</v>
      </c>
      <c r="D10150" s="4" t="n">
        <v>1329.4875</v>
      </c>
      <c r="E10150" s="5" t="n">
        <v>39.5</v>
      </c>
      <c r="F10150" s="3" t="inlineStr">
        <is>
          <t>부강면</t>
        </is>
      </c>
      <c r="G10150" s="3" t="inlineStr">
        <is>
          <t>부강리</t>
        </is>
      </c>
      <c r="H10150" s="3" t="inlineStr">
        <is>
          <t>보전관리지역</t>
        </is>
      </c>
      <c r="I10150" s="3" t="inlineStr">
        <is>
          <t>임야</t>
        </is>
      </c>
      <c r="J10150" s="3" t="inlineStr">
        <is>
          <t>부강면</t>
        </is>
      </c>
    </row>
    <row r="10151">
      <c r="A10151" s="3" t="n">
        <v>2023</v>
      </c>
      <c r="B10151" s="4" t="n">
        <v>24301</v>
      </c>
      <c r="C10151" s="4" t="n">
        <v>2033</v>
      </c>
      <c r="D10151" s="4" t="n">
        <v>614.9825</v>
      </c>
      <c r="E10151" s="5" t="n">
        <v>39.5</v>
      </c>
      <c r="F10151" s="3" t="inlineStr">
        <is>
          <t>부강면</t>
        </is>
      </c>
      <c r="G10151" s="3" t="inlineStr">
        <is>
          <t>부강리</t>
        </is>
      </c>
      <c r="H10151" s="3" t="inlineStr">
        <is>
          <t>보전관리지역</t>
        </is>
      </c>
      <c r="I10151" s="3" t="inlineStr">
        <is>
          <t>임야</t>
        </is>
      </c>
      <c r="J10151" s="3" t="inlineStr">
        <is>
          <t>부강면</t>
        </is>
      </c>
    </row>
    <row r="10152">
      <c r="A10152" s="3" t="n">
        <v>2023</v>
      </c>
      <c r="B10152" s="4" t="n">
        <v>15850</v>
      </c>
      <c r="C10152" s="4" t="n">
        <v>577</v>
      </c>
      <c r="D10152" s="4" t="n">
        <v>174.5425</v>
      </c>
      <c r="E10152" s="5" t="n">
        <v>90.8</v>
      </c>
      <c r="F10152" s="3" t="inlineStr">
        <is>
          <t>연서면</t>
        </is>
      </c>
      <c r="G10152" s="3" t="inlineStr">
        <is>
          <t>용암리</t>
        </is>
      </c>
      <c r="H10152" s="3" t="inlineStr">
        <is>
          <t>생산관리지역</t>
        </is>
      </c>
      <c r="I10152" s="3" t="inlineStr">
        <is>
          <t>과수원</t>
        </is>
      </c>
      <c r="J10152" s="3" t="inlineStr">
        <is>
          <t>연서면</t>
        </is>
      </c>
    </row>
    <row r="10153">
      <c r="A10153" s="3" t="n">
        <v>2023</v>
      </c>
      <c r="B10153" s="4" t="n">
        <v>2739</v>
      </c>
      <c r="C10153" s="4" t="n">
        <v>43</v>
      </c>
      <c r="D10153" s="4" t="n">
        <v>13.0075</v>
      </c>
      <c r="E10153" s="5" t="n">
        <v>210.6</v>
      </c>
      <c r="F10153" s="3" t="inlineStr">
        <is>
          <t>연서면</t>
        </is>
      </c>
      <c r="G10153" s="3" t="inlineStr">
        <is>
          <t>봉암리</t>
        </is>
      </c>
      <c r="H10153" s="3" t="inlineStr">
        <is>
          <t>계획관리지역</t>
        </is>
      </c>
      <c r="I10153" s="3" t="inlineStr">
        <is>
          <t>잡종지</t>
        </is>
      </c>
      <c r="J10153" s="3" t="inlineStr">
        <is>
          <t>연서면</t>
        </is>
      </c>
    </row>
    <row r="10154">
      <c r="A10154" s="3" t="n">
        <v>2023</v>
      </c>
      <c r="B10154" s="4" t="n">
        <v>116700</v>
      </c>
      <c r="C10154" s="4" t="n">
        <v>231</v>
      </c>
      <c r="D10154" s="4" t="n">
        <v>69.8775</v>
      </c>
      <c r="E10154" s="5" t="n">
        <v>1670.1</v>
      </c>
      <c r="F10154" s="3" t="inlineStr">
        <is>
          <t>금남면</t>
        </is>
      </c>
      <c r="G10154" s="3" t="inlineStr">
        <is>
          <t>용포리</t>
        </is>
      </c>
      <c r="H10154" s="3" t="inlineStr">
        <is>
          <t>일반상업지역</t>
        </is>
      </c>
      <c r="I10154" s="3" t="inlineStr">
        <is>
          <t>대</t>
        </is>
      </c>
      <c r="J10154" s="3" t="inlineStr">
        <is>
          <t>금남면</t>
        </is>
      </c>
    </row>
    <row r="10155">
      <c r="A10155" s="3" t="n">
        <v>2023</v>
      </c>
      <c r="B10155" s="4" t="n">
        <v>72000</v>
      </c>
      <c r="C10155" s="4" t="n">
        <v>2506</v>
      </c>
      <c r="D10155" s="4" t="n">
        <v>758.0649999999999</v>
      </c>
      <c r="E10155" s="5" t="n">
        <v>95</v>
      </c>
      <c r="F10155" s="3" t="inlineStr">
        <is>
          <t>금남면</t>
        </is>
      </c>
      <c r="G10155" s="3" t="inlineStr">
        <is>
          <t>봉암리</t>
        </is>
      </c>
      <c r="H10155" s="3" t="inlineStr">
        <is>
          <t>개발제한구역</t>
        </is>
      </c>
      <c r="I10155" s="3" t="inlineStr">
        <is>
          <t>답</t>
        </is>
      </c>
      <c r="J10155" s="3" t="inlineStr">
        <is>
          <t>금남면</t>
        </is>
      </c>
    </row>
    <row r="10156">
      <c r="A10156" s="3" t="n">
        <v>2023</v>
      </c>
      <c r="B10156" s="4" t="n">
        <v>14980</v>
      </c>
      <c r="C10156" s="4" t="n">
        <v>550</v>
      </c>
      <c r="D10156" s="4" t="n">
        <v>166.375</v>
      </c>
      <c r="E10156" s="5" t="n">
        <v>90</v>
      </c>
      <c r="F10156" s="3" t="inlineStr">
        <is>
          <t>전의면</t>
        </is>
      </c>
      <c r="G10156" s="3" t="inlineStr">
        <is>
          <t>서정리</t>
        </is>
      </c>
      <c r="H10156" s="3" t="inlineStr">
        <is>
          <t>계획관리지역</t>
        </is>
      </c>
      <c r="I10156" s="3" t="inlineStr">
        <is>
          <t>대</t>
        </is>
      </c>
      <c r="J10156" s="3" t="inlineStr">
        <is>
          <t>전의면</t>
        </is>
      </c>
    </row>
    <row r="10157">
      <c r="A10157" s="3" t="n">
        <v>2023</v>
      </c>
      <c r="B10157" s="4" t="n">
        <v>14980</v>
      </c>
      <c r="C10157" s="4" t="n">
        <v>550</v>
      </c>
      <c r="D10157" s="4" t="n">
        <v>166.375</v>
      </c>
      <c r="E10157" s="5" t="n">
        <v>90</v>
      </c>
      <c r="F10157" s="3" t="inlineStr">
        <is>
          <t>전의면</t>
        </is>
      </c>
      <c r="G10157" s="3" t="inlineStr">
        <is>
          <t>서정리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전의면</t>
        </is>
      </c>
    </row>
    <row r="10158">
      <c r="A10158" s="3" t="n">
        <v>2023</v>
      </c>
      <c r="B10158" s="4" t="n">
        <v>11700</v>
      </c>
      <c r="C10158" s="4" t="n">
        <v>11739</v>
      </c>
      <c r="D10158" s="4" t="n">
        <v>3551.0475</v>
      </c>
      <c r="E10158" s="5" t="n">
        <v>3.3</v>
      </c>
      <c r="F10158" s="3" t="inlineStr">
        <is>
          <t>장군면</t>
        </is>
      </c>
      <c r="G10158" s="3" t="inlineStr">
        <is>
          <t>금암리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장군면</t>
        </is>
      </c>
    </row>
    <row r="10159">
      <c r="A10159" s="3" t="n">
        <v>2023</v>
      </c>
      <c r="B10159" s="4" t="n">
        <v>4000</v>
      </c>
      <c r="C10159" s="4" t="n">
        <v>91</v>
      </c>
      <c r="D10159" s="4" t="n">
        <v>27.5275</v>
      </c>
      <c r="E10159" s="5" t="n">
        <v>145.3</v>
      </c>
      <c r="F10159" s="3" t="inlineStr">
        <is>
          <t>연동면</t>
        </is>
      </c>
      <c r="G10159" s="3" t="inlineStr">
        <is>
          <t>내판리</t>
        </is>
      </c>
      <c r="H10159" s="3" t="inlineStr">
        <is>
          <t>계획관리지역</t>
        </is>
      </c>
      <c r="I10159" s="3" t="inlineStr">
        <is>
          <t>대</t>
        </is>
      </c>
      <c r="J10159" s="3" t="inlineStr">
        <is>
          <t>연동면</t>
        </is>
      </c>
    </row>
    <row r="10160">
      <c r="A10160" s="3" t="n">
        <v>2023</v>
      </c>
      <c r="B10160" s="4" t="n">
        <v>11330</v>
      </c>
      <c r="C10160" s="4" t="n">
        <v>256</v>
      </c>
      <c r="D10160" s="4" t="n">
        <v>77.44</v>
      </c>
      <c r="E10160" s="5" t="n">
        <v>146.3</v>
      </c>
      <c r="F10160" s="3" t="inlineStr">
        <is>
          <t>연동면</t>
        </is>
      </c>
      <c r="G10160" s="3" t="inlineStr">
        <is>
          <t>내판리</t>
        </is>
      </c>
      <c r="H10160" s="3" t="inlineStr">
        <is>
          <t>계획관리지역</t>
        </is>
      </c>
      <c r="I10160" s="3" t="inlineStr">
        <is>
          <t>대</t>
        </is>
      </c>
      <c r="J10160" s="3" t="inlineStr">
        <is>
          <t>연동면</t>
        </is>
      </c>
    </row>
    <row r="10161">
      <c r="A10161" s="3" t="n">
        <v>2023</v>
      </c>
      <c r="B10161" s="4" t="n">
        <v>12705</v>
      </c>
      <c r="C10161" s="4" t="n">
        <v>700</v>
      </c>
      <c r="D10161" s="4" t="n">
        <v>211.75</v>
      </c>
      <c r="E10161" s="5" t="n">
        <v>60</v>
      </c>
      <c r="F10161" s="3" t="inlineStr">
        <is>
          <t>금남면</t>
        </is>
      </c>
      <c r="G10161" s="3" t="inlineStr">
        <is>
          <t>장재리</t>
        </is>
      </c>
      <c r="H10161" s="3" t="inlineStr">
        <is>
          <t>개발제한구역</t>
        </is>
      </c>
      <c r="I10161" s="3" t="inlineStr">
        <is>
          <t>전</t>
        </is>
      </c>
      <c r="J10161" s="3" t="inlineStr">
        <is>
          <t>금남면</t>
        </is>
      </c>
    </row>
    <row r="10162">
      <c r="A10162" s="3" t="n">
        <v>2023</v>
      </c>
      <c r="B10162" s="4" t="n">
        <v>555</v>
      </c>
      <c r="C10162" s="4" t="n">
        <v>31</v>
      </c>
      <c r="D10162" s="4" t="n">
        <v>9.3775</v>
      </c>
      <c r="E10162" s="5" t="n">
        <v>59.2</v>
      </c>
      <c r="F10162" s="3" t="inlineStr">
        <is>
          <t>금남면</t>
        </is>
      </c>
      <c r="G10162" s="3" t="inlineStr">
        <is>
          <t>장재리</t>
        </is>
      </c>
      <c r="H10162" s="3" t="inlineStr">
        <is>
          <t>개발제한구역</t>
        </is>
      </c>
      <c r="I10162" s="3" t="inlineStr">
        <is>
          <t>전</t>
        </is>
      </c>
      <c r="J10162" s="3" t="inlineStr">
        <is>
          <t>금남면</t>
        </is>
      </c>
    </row>
    <row r="10163">
      <c r="A10163" s="3" t="n">
        <v>2023</v>
      </c>
      <c r="B10163" s="4" t="n">
        <v>80000</v>
      </c>
      <c r="C10163" s="4" t="n">
        <v>1395</v>
      </c>
      <c r="D10163" s="4" t="n">
        <v>421.9875</v>
      </c>
      <c r="E10163" s="5" t="n">
        <v>189.6</v>
      </c>
      <c r="F10163" s="3" t="inlineStr">
        <is>
          <t>연서면</t>
        </is>
      </c>
      <c r="G10163" s="3" t="inlineStr">
        <is>
          <t>와촌리</t>
        </is>
      </c>
      <c r="H10163" s="3" t="inlineStr">
        <is>
          <t>계획관리지역</t>
        </is>
      </c>
      <c r="I10163" s="3" t="inlineStr">
        <is>
          <t>전</t>
        </is>
      </c>
      <c r="J10163" s="3" t="inlineStr">
        <is>
          <t>연서면</t>
        </is>
      </c>
    </row>
    <row r="10164">
      <c r="A10164" s="3" t="n">
        <v>2023</v>
      </c>
      <c r="B10164" s="4" t="n">
        <v>19800</v>
      </c>
      <c r="C10164" s="4" t="n">
        <v>972</v>
      </c>
      <c r="D10164" s="4" t="n">
        <v>294.03</v>
      </c>
      <c r="E10164" s="5" t="n">
        <v>67.3</v>
      </c>
      <c r="F10164" s="3" t="inlineStr">
        <is>
          <t>장군면</t>
        </is>
      </c>
      <c r="G10164" s="3" t="inlineStr">
        <is>
          <t>송학리</t>
        </is>
      </c>
      <c r="H10164" s="3" t="inlineStr">
        <is>
          <t>계획관리지역</t>
        </is>
      </c>
      <c r="I10164" s="3" t="inlineStr">
        <is>
          <t>전</t>
        </is>
      </c>
      <c r="J10164" s="3" t="inlineStr">
        <is>
          <t>장군면</t>
        </is>
      </c>
    </row>
    <row r="10165">
      <c r="A10165" s="3" t="n">
        <v>2023</v>
      </c>
      <c r="B10165" s="4" t="n">
        <v>13400</v>
      </c>
      <c r="C10165" s="4" t="n">
        <v>332</v>
      </c>
      <c r="D10165" s="4" t="n">
        <v>100.43</v>
      </c>
      <c r="E10165" s="5" t="n">
        <v>133.4</v>
      </c>
      <c r="F10165" s="3" t="inlineStr">
        <is>
          <t>연서면</t>
        </is>
      </c>
      <c r="G10165" s="3" t="inlineStr">
        <is>
          <t>고복리</t>
        </is>
      </c>
      <c r="H10165" s="3" t="inlineStr">
        <is>
          <t>생산관리지역</t>
        </is>
      </c>
      <c r="I10165" s="3" t="inlineStr">
        <is>
          <t>대</t>
        </is>
      </c>
      <c r="J10165" s="3" t="inlineStr">
        <is>
          <t>연서면</t>
        </is>
      </c>
    </row>
    <row r="10166">
      <c r="A10166" s="3" t="n">
        <v>2023</v>
      </c>
      <c r="B10166" s="4" t="n">
        <v>51045</v>
      </c>
      <c r="C10166" s="4" t="n">
        <v>1258</v>
      </c>
      <c r="D10166" s="4" t="n">
        <v>380.545</v>
      </c>
      <c r="E10166" s="5" t="n">
        <v>134.1</v>
      </c>
      <c r="F10166" s="3" t="inlineStr">
        <is>
          <t>연서면</t>
        </is>
      </c>
      <c r="G10166" s="3" t="inlineStr">
        <is>
          <t>고복리</t>
        </is>
      </c>
      <c r="H10166" s="3" t="inlineStr">
        <is>
          <t>생산관리지역</t>
        </is>
      </c>
      <c r="I10166" s="3" t="inlineStr">
        <is>
          <t>잡종지</t>
        </is>
      </c>
      <c r="J10166" s="3" t="inlineStr">
        <is>
          <t>연서면</t>
        </is>
      </c>
    </row>
    <row r="10167">
      <c r="A10167" s="3" t="n">
        <v>2023</v>
      </c>
      <c r="B10167" s="4" t="n">
        <v>5140</v>
      </c>
      <c r="C10167" s="4" t="n">
        <v>242</v>
      </c>
      <c r="D10167" s="4" t="n">
        <v>73.205</v>
      </c>
      <c r="E10167" s="5" t="n">
        <v>70.2</v>
      </c>
      <c r="F10167" s="3" t="inlineStr">
        <is>
          <t>연서면</t>
        </is>
      </c>
      <c r="G10167" s="3" t="inlineStr">
        <is>
          <t>고복리</t>
        </is>
      </c>
      <c r="H10167" s="3" t="inlineStr">
        <is>
          <t>보전관리지역</t>
        </is>
      </c>
      <c r="I10167" s="3" t="inlineStr">
        <is>
          <t>임야</t>
        </is>
      </c>
      <c r="J10167" s="3" t="inlineStr">
        <is>
          <t>연서면</t>
        </is>
      </c>
    </row>
    <row r="10168">
      <c r="A10168" s="3" t="n">
        <v>2023</v>
      </c>
      <c r="B10168" s="4" t="n">
        <v>10099</v>
      </c>
      <c r="C10168" s="4" t="n">
        <v>257</v>
      </c>
      <c r="D10168" s="4" t="n">
        <v>77.74249999999999</v>
      </c>
      <c r="E10168" s="5" t="n">
        <v>129.9</v>
      </c>
      <c r="F10168" s="3" t="inlineStr">
        <is>
          <t>연서면</t>
        </is>
      </c>
      <c r="G10168" s="3" t="inlineStr">
        <is>
          <t>고복리</t>
        </is>
      </c>
      <c r="H10168" s="3" t="inlineStr">
        <is>
          <t>생산관리지역</t>
        </is>
      </c>
      <c r="I10168" s="3" t="inlineStr">
        <is>
          <t>답</t>
        </is>
      </c>
      <c r="J10168" s="3" t="inlineStr">
        <is>
          <t>연서면</t>
        </is>
      </c>
    </row>
    <row r="10169">
      <c r="A10169" s="3" t="n">
        <v>2023</v>
      </c>
      <c r="B10169" s="4" t="n">
        <v>75966</v>
      </c>
      <c r="C10169" s="4" t="n">
        <v>1874</v>
      </c>
      <c r="D10169" s="4" t="n">
        <v>566.885</v>
      </c>
      <c r="E10169" s="5" t="n">
        <v>134</v>
      </c>
      <c r="F10169" s="3" t="inlineStr">
        <is>
          <t>연서면</t>
        </is>
      </c>
      <c r="G10169" s="3" t="inlineStr">
        <is>
          <t>고복리</t>
        </is>
      </c>
      <c r="H10169" s="3" t="inlineStr">
        <is>
          <t>생산관리지역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2023</v>
      </c>
      <c r="B10170" s="4" t="n">
        <v>253400</v>
      </c>
      <c r="C10170" s="4" t="n">
        <v>8333</v>
      </c>
      <c r="D10170" s="4" t="n">
        <v>2520.7325</v>
      </c>
      <c r="E10170" s="5" t="n">
        <v>100.5</v>
      </c>
      <c r="F10170" s="3" t="inlineStr">
        <is>
          <t>연동면</t>
        </is>
      </c>
      <c r="G10170" s="3" t="inlineStr">
        <is>
          <t>노송리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연동면</t>
        </is>
      </c>
    </row>
    <row r="10171">
      <c r="A10171" s="3" t="n">
        <v>2023</v>
      </c>
      <c r="B10171" s="4" t="n">
        <v>50780</v>
      </c>
      <c r="C10171" s="4" t="n">
        <v>923</v>
      </c>
      <c r="D10171" s="4" t="n">
        <v>279.2075</v>
      </c>
      <c r="E10171" s="5" t="n">
        <v>181.9</v>
      </c>
      <c r="F10171" s="3" t="inlineStr">
        <is>
          <t>연동면</t>
        </is>
      </c>
      <c r="G10171" s="3" t="inlineStr">
        <is>
          <t>노송리</t>
        </is>
      </c>
      <c r="H10171" s="3" t="inlineStr">
        <is>
          <t>계획관리지역</t>
        </is>
      </c>
      <c r="I10171" s="3" t="inlineStr">
        <is>
          <t>전</t>
        </is>
      </c>
      <c r="J10171" s="3" t="inlineStr">
        <is>
          <t>연동면</t>
        </is>
      </c>
    </row>
    <row r="10172">
      <c r="A10172" s="3" t="n">
        <v>2023</v>
      </c>
      <c r="B10172" s="4" t="n">
        <v>35500</v>
      </c>
      <c r="C10172" s="4" t="n">
        <v>644</v>
      </c>
      <c r="D10172" s="4" t="n">
        <v>194.81</v>
      </c>
      <c r="E10172" s="5" t="n">
        <v>182.2</v>
      </c>
      <c r="F10172" s="3" t="inlineStr">
        <is>
          <t>연동면</t>
        </is>
      </c>
      <c r="G10172" s="3" t="inlineStr">
        <is>
          <t>노송리</t>
        </is>
      </c>
      <c r="H10172" s="3" t="inlineStr">
        <is>
          <t>계획관리지역</t>
        </is>
      </c>
      <c r="I10172" s="3" t="inlineStr">
        <is>
          <t>답</t>
        </is>
      </c>
      <c r="J10172" s="3" t="inlineStr">
        <is>
          <t>연동면</t>
        </is>
      </c>
    </row>
    <row r="10173">
      <c r="A10173" s="3" t="n">
        <v>2023</v>
      </c>
      <c r="B10173" s="4" t="n">
        <v>3620</v>
      </c>
      <c r="C10173" s="4" t="n">
        <v>66</v>
      </c>
      <c r="D10173" s="4" t="n">
        <v>19.965</v>
      </c>
      <c r="E10173" s="5" t="n">
        <v>181.3</v>
      </c>
      <c r="F10173" s="3" t="inlineStr">
        <is>
          <t>연동면</t>
        </is>
      </c>
      <c r="G10173" s="3" t="inlineStr">
        <is>
          <t>노송리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연동면</t>
        </is>
      </c>
    </row>
    <row r="10174">
      <c r="A10174" s="3" t="n">
        <v>2023</v>
      </c>
      <c r="B10174" s="4" t="n">
        <v>22700</v>
      </c>
      <c r="C10174" s="4" t="n">
        <v>413</v>
      </c>
      <c r="D10174" s="4" t="n">
        <v>124.9325</v>
      </c>
      <c r="E10174" s="5" t="n">
        <v>181.7</v>
      </c>
      <c r="F10174" s="3" t="inlineStr">
        <is>
          <t>연동면</t>
        </is>
      </c>
      <c r="G10174" s="3" t="inlineStr">
        <is>
          <t>노송리</t>
        </is>
      </c>
      <c r="H10174" s="3" t="inlineStr">
        <is>
          <t>계획관리지역</t>
        </is>
      </c>
      <c r="I10174" s="3" t="inlineStr">
        <is>
          <t>전</t>
        </is>
      </c>
      <c r="J10174" s="3" t="inlineStr">
        <is>
          <t>연동면</t>
        </is>
      </c>
    </row>
    <row r="10175">
      <c r="A10175" s="3" t="n">
        <v>2023</v>
      </c>
      <c r="B10175" s="4" t="n">
        <v>64000</v>
      </c>
      <c r="C10175" s="4" t="n">
        <v>1160</v>
      </c>
      <c r="D10175" s="4" t="n">
        <v>350.9</v>
      </c>
      <c r="E10175" s="5" t="n">
        <v>182.4</v>
      </c>
      <c r="F10175" s="3" t="inlineStr">
        <is>
          <t>연동면</t>
        </is>
      </c>
      <c r="G10175" s="3" t="inlineStr">
        <is>
          <t>노송리</t>
        </is>
      </c>
      <c r="H10175" s="3" t="inlineStr">
        <is>
          <t>계획관리지역</t>
        </is>
      </c>
      <c r="I10175" s="3" t="inlineStr">
        <is>
          <t>전</t>
        </is>
      </c>
      <c r="J10175" s="3" t="inlineStr">
        <is>
          <t>연동면</t>
        </is>
      </c>
    </row>
    <row r="10176">
      <c r="A10176" s="3" t="n">
        <v>2024</v>
      </c>
      <c r="B10176" s="4" t="n">
        <v>9713</v>
      </c>
      <c r="C10176" s="4" t="n">
        <v>662</v>
      </c>
      <c r="D10176" s="4" t="n">
        <v>200.255</v>
      </c>
      <c r="E10176" s="5" t="n">
        <v>48.5</v>
      </c>
      <c r="F10176" s="3" t="inlineStr">
        <is>
          <t>전동면</t>
        </is>
      </c>
      <c r="G10176" s="3" t="inlineStr">
        <is>
          <t>청람리</t>
        </is>
      </c>
      <c r="H10176" s="3" t="inlineStr">
        <is>
          <t>생산녹지지역</t>
        </is>
      </c>
      <c r="I10176" s="3" t="inlineStr">
        <is>
          <t>답</t>
        </is>
      </c>
      <c r="J10176" s="3" t="inlineStr">
        <is>
          <t>전동면</t>
        </is>
      </c>
    </row>
    <row r="10177">
      <c r="A10177" s="3" t="n">
        <v>2024</v>
      </c>
      <c r="B10177" s="4" t="n">
        <v>10000</v>
      </c>
      <c r="C10177" s="4" t="n">
        <v>234</v>
      </c>
      <c r="D10177" s="4" t="n">
        <v>70.785</v>
      </c>
      <c r="E10177" s="5" t="n">
        <v>141.3</v>
      </c>
      <c r="F10177" s="3" t="inlineStr">
        <is>
          <t>연서면</t>
        </is>
      </c>
      <c r="G10177" s="3" t="inlineStr">
        <is>
          <t>봉암리</t>
        </is>
      </c>
      <c r="H10177" s="3" t="inlineStr">
        <is>
          <t>계획관리지역</t>
        </is>
      </c>
      <c r="I10177" s="3" t="inlineStr">
        <is>
          <t>대</t>
        </is>
      </c>
      <c r="J10177" s="3" t="inlineStr">
        <is>
          <t>연서면</t>
        </is>
      </c>
    </row>
    <row r="10178">
      <c r="A10178" s="3" t="n">
        <v>2024</v>
      </c>
      <c r="B10178" s="4" t="n">
        <v>230000</v>
      </c>
      <c r="C10178" s="4" t="n">
        <v>5918</v>
      </c>
      <c r="D10178" s="4" t="n">
        <v>1790.195</v>
      </c>
      <c r="E10178" s="5" t="n">
        <v>128.5</v>
      </c>
      <c r="F10178" s="3" t="inlineStr">
        <is>
          <t>장군면</t>
        </is>
      </c>
      <c r="G10178" s="3" t="inlineStr">
        <is>
          <t>도계리</t>
        </is>
      </c>
      <c r="H10178" s="3" t="inlineStr">
        <is>
          <t>보전관리지역</t>
        </is>
      </c>
      <c r="I10178" s="3" t="inlineStr">
        <is>
          <t>임야</t>
        </is>
      </c>
      <c r="J10178" s="3" t="inlineStr">
        <is>
          <t>장군면</t>
        </is>
      </c>
    </row>
    <row r="10179">
      <c r="A10179" s="3" t="n">
        <v>2024</v>
      </c>
      <c r="B10179" s="4" t="n">
        <v>34000</v>
      </c>
      <c r="C10179" s="4" t="n">
        <v>319</v>
      </c>
      <c r="D10179" s="4" t="n">
        <v>96.4975</v>
      </c>
      <c r="E10179" s="5" t="n">
        <v>352.3</v>
      </c>
      <c r="F10179" s="3" t="inlineStr">
        <is>
          <t>연서면</t>
        </is>
      </c>
      <c r="G10179" s="3" t="inlineStr">
        <is>
          <t>월하리</t>
        </is>
      </c>
      <c r="H10179" s="3" t="inlineStr">
        <is>
          <t>제1종일반주거지역</t>
        </is>
      </c>
      <c r="I10179" s="3" t="inlineStr">
        <is>
          <t>대</t>
        </is>
      </c>
      <c r="J10179" s="3" t="inlineStr">
        <is>
          <t>연서면</t>
        </is>
      </c>
    </row>
    <row r="10180">
      <c r="A10180" s="3" t="n">
        <v>2024</v>
      </c>
      <c r="B10180" s="4" t="n">
        <v>27000</v>
      </c>
      <c r="C10180" s="4" t="n">
        <v>496</v>
      </c>
      <c r="D10180" s="4" t="n">
        <v>150.04</v>
      </c>
      <c r="E10180" s="5" t="n">
        <v>180</v>
      </c>
      <c r="F10180" s="3" t="inlineStr">
        <is>
          <t>금남면</t>
        </is>
      </c>
      <c r="G10180" s="3" t="inlineStr">
        <is>
          <t>원봉리</t>
        </is>
      </c>
      <c r="H10180" s="3" t="inlineStr">
        <is>
          <t>계획관리지역</t>
        </is>
      </c>
      <c r="I10180" s="3" t="inlineStr">
        <is>
          <t>답</t>
        </is>
      </c>
      <c r="J10180" s="3" t="inlineStr">
        <is>
          <t>금남면</t>
        </is>
      </c>
    </row>
    <row r="10181">
      <c r="A10181" s="3" t="n">
        <v>2024</v>
      </c>
      <c r="B10181" s="4" t="n">
        <v>39806</v>
      </c>
      <c r="C10181" s="4" t="n">
        <v>595</v>
      </c>
      <c r="D10181" s="4" t="n">
        <v>179.9875</v>
      </c>
      <c r="E10181" s="5" t="n">
        <v>221.2</v>
      </c>
      <c r="F10181" s="3" t="inlineStr">
        <is>
          <t>조치원읍</t>
        </is>
      </c>
      <c r="G10181" s="3" t="inlineStr">
        <is>
          <t>신안리</t>
        </is>
      </c>
      <c r="H10181" s="3" t="inlineStr">
        <is>
          <t>자연녹지지역</t>
        </is>
      </c>
      <c r="I10181" s="3" t="inlineStr">
        <is>
          <t>과수원</t>
        </is>
      </c>
      <c r="J10181" s="3" t="inlineStr">
        <is>
          <t>조치원읍</t>
        </is>
      </c>
    </row>
    <row r="10182">
      <c r="A10182" s="3" t="n">
        <v>2024</v>
      </c>
      <c r="B10182" s="4" t="n">
        <v>80318</v>
      </c>
      <c r="C10182" s="4" t="n">
        <v>1993</v>
      </c>
      <c r="D10182" s="4" t="n">
        <v>602.8824999999999</v>
      </c>
      <c r="E10182" s="5" t="n">
        <v>133.2</v>
      </c>
      <c r="F10182" s="3" t="inlineStr">
        <is>
          <t>전동면</t>
        </is>
      </c>
      <c r="G10182" s="3" t="inlineStr">
        <is>
          <t>송성리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전동면</t>
        </is>
      </c>
    </row>
    <row r="10183">
      <c r="A10183" s="3" t="n">
        <v>2024</v>
      </c>
      <c r="B10183" s="4" t="n">
        <v>46667</v>
      </c>
      <c r="C10183" s="4" t="n">
        <v>1158</v>
      </c>
      <c r="D10183" s="4" t="n">
        <v>350.295</v>
      </c>
      <c r="E10183" s="5" t="n">
        <v>133.2</v>
      </c>
      <c r="F10183" s="3" t="inlineStr">
        <is>
          <t>전동면</t>
        </is>
      </c>
      <c r="G10183" s="3" t="inlineStr">
        <is>
          <t>송성리</t>
        </is>
      </c>
      <c r="H10183" s="3" t="inlineStr">
        <is>
          <t>계획관리지역</t>
        </is>
      </c>
      <c r="I10183" s="3" t="inlineStr">
        <is>
          <t>공장용지</t>
        </is>
      </c>
      <c r="J10183" s="3" t="inlineStr">
        <is>
          <t>전동면</t>
        </is>
      </c>
    </row>
    <row r="10184">
      <c r="A10184" s="3" t="n">
        <v>2024</v>
      </c>
      <c r="B10184" s="4" t="n">
        <v>12050</v>
      </c>
      <c r="C10184" s="4" t="n">
        <v>299</v>
      </c>
      <c r="D10184" s="4" t="n">
        <v>90.44749999999999</v>
      </c>
      <c r="E10184" s="5" t="n">
        <v>133.2</v>
      </c>
      <c r="F10184" s="3" t="inlineStr">
        <is>
          <t>전동면</t>
        </is>
      </c>
      <c r="G10184" s="3" t="inlineStr">
        <is>
          <t>송성리</t>
        </is>
      </c>
      <c r="H10184" s="3" t="inlineStr">
        <is>
          <t>계획관리지역</t>
        </is>
      </c>
      <c r="I10184" s="3" t="inlineStr">
        <is>
          <t>공장용지</t>
        </is>
      </c>
      <c r="J10184" s="3" t="inlineStr">
        <is>
          <t>전동면</t>
        </is>
      </c>
    </row>
    <row r="10185">
      <c r="A10185" s="3" t="n">
        <v>2024</v>
      </c>
      <c r="B10185" s="4" t="n">
        <v>64136</v>
      </c>
      <c r="C10185" s="4" t="n">
        <v>1926</v>
      </c>
      <c r="D10185" s="4" t="n">
        <v>582.615</v>
      </c>
      <c r="E10185" s="5" t="n">
        <v>110.1</v>
      </c>
      <c r="F10185" s="3" t="inlineStr">
        <is>
          <t>전동면</t>
        </is>
      </c>
      <c r="G10185" s="3" t="inlineStr">
        <is>
          <t>송성리</t>
        </is>
      </c>
      <c r="H10185" s="3" t="inlineStr">
        <is>
          <t>계획관리지역</t>
        </is>
      </c>
      <c r="I10185" s="3" t="inlineStr">
        <is>
          <t>공장용지</t>
        </is>
      </c>
      <c r="J10185" s="3" t="inlineStr">
        <is>
          <t>전동면</t>
        </is>
      </c>
    </row>
    <row r="10186">
      <c r="A10186" s="3" t="n">
        <v>2024</v>
      </c>
      <c r="B10186" s="4" t="n">
        <v>42230</v>
      </c>
      <c r="C10186" s="4" t="n">
        <v>660</v>
      </c>
      <c r="D10186" s="4" t="n">
        <v>199.65</v>
      </c>
      <c r="E10186" s="5" t="n">
        <v>211.5</v>
      </c>
      <c r="F10186" s="3" t="inlineStr">
        <is>
          <t>연기면</t>
        </is>
      </c>
      <c r="G10186" s="3" t="inlineStr">
        <is>
          <t>눌왕리</t>
        </is>
      </c>
      <c r="H10186" s="3" t="inlineStr">
        <is>
          <t>계획관리지역</t>
        </is>
      </c>
      <c r="I10186" s="3" t="inlineStr">
        <is>
          <t>전</t>
        </is>
      </c>
      <c r="J10186" s="3" t="inlineStr">
        <is>
          <t>연기면</t>
        </is>
      </c>
    </row>
    <row r="10187">
      <c r="A10187" s="3" t="n">
        <v>2024</v>
      </c>
      <c r="B10187" s="4" t="n">
        <v>5670</v>
      </c>
      <c r="C10187" s="4" t="n">
        <v>90</v>
      </c>
      <c r="D10187" s="4" t="n">
        <v>27.225</v>
      </c>
      <c r="E10187" s="5" t="n">
        <v>208.3</v>
      </c>
      <c r="F10187" s="3" t="inlineStr">
        <is>
          <t>연기면</t>
        </is>
      </c>
      <c r="G10187" s="3" t="inlineStr">
        <is>
          <t>눌왕리</t>
        </is>
      </c>
      <c r="H10187" s="3" t="inlineStr">
        <is>
          <t>계획관리지역</t>
        </is>
      </c>
      <c r="I10187" s="3" t="inlineStr">
        <is>
          <t>임야</t>
        </is>
      </c>
      <c r="J10187" s="3" t="inlineStr">
        <is>
          <t>연기면</t>
        </is>
      </c>
    </row>
    <row r="10188">
      <c r="A10188" s="3" t="n">
        <v>2024</v>
      </c>
      <c r="B10188" s="4" t="n">
        <v>31000</v>
      </c>
      <c r="C10188" s="4" t="n">
        <v>168</v>
      </c>
      <c r="D10188" s="4" t="n">
        <v>50.82</v>
      </c>
      <c r="E10188" s="5" t="n">
        <v>610</v>
      </c>
      <c r="F10188" s="3" t="inlineStr">
        <is>
          <t>반곡동</t>
        </is>
      </c>
      <c r="G10188" s="3" t="inlineStr"/>
      <c r="H10188" s="3" t="inlineStr">
        <is>
          <t>제1종일반주거지역</t>
        </is>
      </c>
      <c r="I10188" s="3" t="inlineStr">
        <is>
          <t>대</t>
        </is>
      </c>
      <c r="J10188" s="3" t="inlineStr">
        <is>
          <t>반곡동</t>
        </is>
      </c>
    </row>
    <row r="10189">
      <c r="A10189" s="3" t="n">
        <v>2024</v>
      </c>
      <c r="B10189" s="4" t="n">
        <v>3200</v>
      </c>
      <c r="C10189" s="4" t="n">
        <v>509</v>
      </c>
      <c r="D10189" s="4" t="n">
        <v>153.9725</v>
      </c>
      <c r="E10189" s="5" t="n">
        <v>20.8</v>
      </c>
      <c r="F10189" s="3" t="inlineStr">
        <is>
          <t>부강면</t>
        </is>
      </c>
      <c r="G10189" s="3" t="inlineStr">
        <is>
          <t>노호리</t>
        </is>
      </c>
      <c r="H10189" s="3" t="inlineStr">
        <is>
          <t>계획관리지역</t>
        </is>
      </c>
      <c r="I10189" s="3" t="inlineStr">
        <is>
          <t>답</t>
        </is>
      </c>
      <c r="J10189" s="3" t="inlineStr">
        <is>
          <t>부강면</t>
        </is>
      </c>
    </row>
    <row r="10190">
      <c r="A10190" s="3" t="n">
        <v>2024</v>
      </c>
      <c r="B10190" s="4" t="n">
        <v>7300</v>
      </c>
      <c r="C10190" s="4" t="n">
        <v>1193</v>
      </c>
      <c r="D10190" s="4" t="n">
        <v>360.8825</v>
      </c>
      <c r="E10190" s="5" t="n">
        <v>20.2</v>
      </c>
      <c r="F10190" s="3" t="inlineStr">
        <is>
          <t>부강면</t>
        </is>
      </c>
      <c r="G10190" s="3" t="inlineStr">
        <is>
          <t>노호리</t>
        </is>
      </c>
      <c r="H10190" s="3" t="inlineStr">
        <is>
          <t>계획관리지역</t>
        </is>
      </c>
      <c r="I10190" s="3" t="inlineStr">
        <is>
          <t>전</t>
        </is>
      </c>
      <c r="J10190" s="3" t="inlineStr">
        <is>
          <t>부강면</t>
        </is>
      </c>
    </row>
    <row r="10191">
      <c r="A10191" s="3" t="n">
        <v>2024</v>
      </c>
      <c r="B10191" s="4" t="n">
        <v>81000</v>
      </c>
      <c r="C10191" s="4" t="n">
        <v>599</v>
      </c>
      <c r="D10191" s="4" t="n">
        <v>181.1975</v>
      </c>
      <c r="E10191" s="5" t="n">
        <v>447</v>
      </c>
      <c r="F10191" s="3" t="inlineStr">
        <is>
          <t>장군면</t>
        </is>
      </c>
      <c r="G10191" s="3" t="inlineStr">
        <is>
          <t>대교리</t>
        </is>
      </c>
      <c r="H10191" s="3" t="inlineStr">
        <is>
          <t>계획관리지역</t>
        </is>
      </c>
      <c r="I10191" s="3" t="inlineStr">
        <is>
          <t>대</t>
        </is>
      </c>
      <c r="J10191" s="3" t="inlineStr">
        <is>
          <t>장군면</t>
        </is>
      </c>
    </row>
    <row r="10192">
      <c r="A10192" s="3" t="n">
        <v>2024</v>
      </c>
      <c r="B10192" s="4" t="n">
        <v>11000</v>
      </c>
      <c r="C10192" s="4" t="n">
        <v>72</v>
      </c>
      <c r="D10192" s="4" t="n">
        <v>21.78</v>
      </c>
      <c r="E10192" s="5" t="n">
        <v>505.1</v>
      </c>
      <c r="F10192" s="3" t="inlineStr">
        <is>
          <t>장군면</t>
        </is>
      </c>
      <c r="G10192" s="3" t="inlineStr">
        <is>
          <t>대교리</t>
        </is>
      </c>
      <c r="H10192" s="3" t="inlineStr">
        <is>
          <t>계획관리지역</t>
        </is>
      </c>
      <c r="I10192" s="3" t="inlineStr">
        <is>
          <t>대</t>
        </is>
      </c>
      <c r="J10192" s="3" t="inlineStr">
        <is>
          <t>장군면</t>
        </is>
      </c>
    </row>
    <row r="10193">
      <c r="A10193" s="3" t="n">
        <v>2024</v>
      </c>
      <c r="B10193" s="4" t="n">
        <v>21500</v>
      </c>
      <c r="C10193" s="4" t="n">
        <v>1279</v>
      </c>
      <c r="D10193" s="4" t="n">
        <v>386.8975</v>
      </c>
      <c r="E10193" s="5" t="n">
        <v>55.6</v>
      </c>
      <c r="F10193" s="3" t="inlineStr">
        <is>
          <t>연서면</t>
        </is>
      </c>
      <c r="G10193" s="3" t="inlineStr">
        <is>
          <t>청라리</t>
        </is>
      </c>
      <c r="H10193" s="3" t="inlineStr">
        <is>
          <t>생산관리지역</t>
        </is>
      </c>
      <c r="I10193" s="3" t="inlineStr">
        <is>
          <t>전</t>
        </is>
      </c>
      <c r="J10193" s="3" t="inlineStr">
        <is>
          <t>연서면</t>
        </is>
      </c>
    </row>
    <row r="10194">
      <c r="A10194" s="3" t="n">
        <v>2024</v>
      </c>
      <c r="B10194" s="4" t="n">
        <v>66000</v>
      </c>
      <c r="C10194" s="4" t="n">
        <v>2179</v>
      </c>
      <c r="D10194" s="4" t="n">
        <v>659.1475</v>
      </c>
      <c r="E10194" s="5" t="n">
        <v>100.1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생산관리지역</t>
        </is>
      </c>
      <c r="I10194" s="3" t="inlineStr">
        <is>
          <t>답</t>
        </is>
      </c>
      <c r="J10194" s="3" t="inlineStr">
        <is>
          <t>장군면</t>
        </is>
      </c>
    </row>
    <row r="10195">
      <c r="A10195" s="3" t="n">
        <v>2024</v>
      </c>
      <c r="B10195" s="4" t="n">
        <v>201000</v>
      </c>
      <c r="C10195" s="4" t="n">
        <v>1565</v>
      </c>
      <c r="D10195" s="4" t="n">
        <v>473.4125</v>
      </c>
      <c r="E10195" s="5" t="n">
        <v>424.6</v>
      </c>
      <c r="F10195" s="3" t="inlineStr">
        <is>
          <t>장군면</t>
        </is>
      </c>
      <c r="G10195" s="3" t="inlineStr">
        <is>
          <t>대교리</t>
        </is>
      </c>
      <c r="H10195" s="3" t="inlineStr">
        <is>
          <t>계획관리지역</t>
        </is>
      </c>
      <c r="I10195" s="3" t="inlineStr">
        <is>
          <t>전</t>
        </is>
      </c>
      <c r="J10195" s="3" t="inlineStr">
        <is>
          <t>장군면</t>
        </is>
      </c>
    </row>
    <row r="10196">
      <c r="A10196" s="3" t="n">
        <v>2024</v>
      </c>
      <c r="B10196" s="4" t="n">
        <v>9430</v>
      </c>
      <c r="C10196" s="4" t="n">
        <v>3119</v>
      </c>
      <c r="D10196" s="4" t="n">
        <v>943.4974999999999</v>
      </c>
      <c r="E10196" s="5" t="n">
        <v>10</v>
      </c>
      <c r="F10196" s="3" t="inlineStr">
        <is>
          <t>장군면</t>
        </is>
      </c>
      <c r="G10196" s="3" t="inlineStr">
        <is>
          <t>금암리</t>
        </is>
      </c>
      <c r="H10196" s="3" t="inlineStr">
        <is>
          <t>농림지역</t>
        </is>
      </c>
      <c r="I10196" s="3" t="inlineStr">
        <is>
          <t>임야</t>
        </is>
      </c>
      <c r="J10196" s="3" t="inlineStr">
        <is>
          <t>장군면</t>
        </is>
      </c>
    </row>
    <row r="10197">
      <c r="A10197" s="3" t="n">
        <v>2024</v>
      </c>
      <c r="B10197" s="4" t="n">
        <v>60000</v>
      </c>
      <c r="C10197" s="4" t="n">
        <v>1171</v>
      </c>
      <c r="D10197" s="4" t="n">
        <v>354.2275</v>
      </c>
      <c r="E10197" s="5" t="n">
        <v>169.4</v>
      </c>
      <c r="F10197" s="3" t="inlineStr">
        <is>
          <t>금남면</t>
        </is>
      </c>
      <c r="G10197" s="3" t="inlineStr">
        <is>
          <t>국곡리</t>
        </is>
      </c>
      <c r="H10197" s="3" t="inlineStr">
        <is>
          <t>자연녹지지역</t>
        </is>
      </c>
      <c r="I10197" s="3" t="inlineStr">
        <is>
          <t>전</t>
        </is>
      </c>
      <c r="J10197" s="3" t="inlineStr">
        <is>
          <t>금남면</t>
        </is>
      </c>
    </row>
    <row r="10198">
      <c r="A10198" s="3" t="n">
        <v>2024</v>
      </c>
      <c r="B10198" s="4" t="n">
        <v>18000</v>
      </c>
      <c r="C10198" s="4" t="n">
        <v>737</v>
      </c>
      <c r="D10198" s="4" t="n">
        <v>222.9425</v>
      </c>
      <c r="E10198" s="5" t="n">
        <v>80.7</v>
      </c>
      <c r="F10198" s="3" t="inlineStr">
        <is>
          <t>연서면</t>
        </is>
      </c>
      <c r="G10198" s="3" t="inlineStr">
        <is>
          <t>용암리</t>
        </is>
      </c>
      <c r="H10198" s="3" t="inlineStr">
        <is>
          <t>농림지역</t>
        </is>
      </c>
      <c r="I10198" s="3" t="inlineStr">
        <is>
          <t>과수원</t>
        </is>
      </c>
      <c r="J10198" s="3" t="inlineStr">
        <is>
          <t>연서면</t>
        </is>
      </c>
    </row>
    <row r="10199">
      <c r="A10199" s="3" t="n">
        <v>2024</v>
      </c>
      <c r="B10199" s="4" t="n">
        <v>10300</v>
      </c>
      <c r="C10199" s="4" t="n">
        <v>1404</v>
      </c>
      <c r="D10199" s="4" t="n">
        <v>424.71</v>
      </c>
      <c r="E10199" s="5" t="n">
        <v>24.3</v>
      </c>
      <c r="F10199" s="3" t="inlineStr">
        <is>
          <t>전동면</t>
        </is>
      </c>
      <c r="G10199" s="3" t="inlineStr">
        <is>
          <t>청람리</t>
        </is>
      </c>
      <c r="H10199" s="3" t="inlineStr">
        <is>
          <t>보전관리지역</t>
        </is>
      </c>
      <c r="I10199" s="3" t="inlineStr">
        <is>
          <t>임야</t>
        </is>
      </c>
      <c r="J10199" s="3" t="inlineStr">
        <is>
          <t>전동면</t>
        </is>
      </c>
    </row>
    <row r="10200">
      <c r="A10200" s="3" t="n">
        <v>2022</v>
      </c>
      <c r="B10200" s="4" t="n">
        <v>1091</v>
      </c>
      <c r="C10200" s="4" t="n">
        <v>182</v>
      </c>
      <c r="D10200" s="4" t="n">
        <v>55.055</v>
      </c>
      <c r="E10200" s="5" t="n">
        <v>19.8</v>
      </c>
      <c r="F10200" s="3" t="inlineStr">
        <is>
          <t>유구읍</t>
        </is>
      </c>
      <c r="G10200" s="3" t="inlineStr">
        <is>
          <t>명곡리</t>
        </is>
      </c>
      <c r="H10200" s="3" t="inlineStr">
        <is>
          <t>계획관리지역</t>
        </is>
      </c>
      <c r="I10200" s="3" t="inlineStr">
        <is>
          <t>전</t>
        </is>
      </c>
      <c r="J10200" s="3" t="inlineStr">
        <is>
          <t>유구읍</t>
        </is>
      </c>
    </row>
    <row r="10201">
      <c r="A10201" s="3" t="n">
        <v>2022</v>
      </c>
      <c r="B10201" s="4" t="n">
        <v>14409</v>
      </c>
      <c r="C10201" s="4" t="n">
        <v>2403</v>
      </c>
      <c r="D10201" s="4" t="n">
        <v>726.9075</v>
      </c>
      <c r="E10201" s="5" t="n">
        <v>19.8</v>
      </c>
      <c r="F10201" s="3" t="inlineStr">
        <is>
          <t>유구읍</t>
        </is>
      </c>
      <c r="G10201" s="3" t="inlineStr">
        <is>
          <t>명곡리</t>
        </is>
      </c>
      <c r="H10201" s="3" t="inlineStr">
        <is>
          <t>계획관리지역</t>
        </is>
      </c>
      <c r="I10201" s="3" t="inlineStr">
        <is>
          <t>전</t>
        </is>
      </c>
      <c r="J10201" s="3" t="inlineStr">
        <is>
          <t>유구읍</t>
        </is>
      </c>
    </row>
    <row r="10202">
      <c r="A10202" s="3" t="n">
        <v>2022</v>
      </c>
      <c r="B10202" s="4" t="n">
        <v>5900</v>
      </c>
      <c r="C10202" s="4" t="n">
        <v>782</v>
      </c>
      <c r="D10202" s="4" t="n">
        <v>236.555</v>
      </c>
      <c r="E10202" s="5" t="n">
        <v>24.9</v>
      </c>
      <c r="F10202" s="3" t="inlineStr">
        <is>
          <t>유구읍</t>
        </is>
      </c>
      <c r="G10202" s="3" t="inlineStr">
        <is>
          <t>입석리</t>
        </is>
      </c>
      <c r="H10202" s="3" t="inlineStr">
        <is>
          <t>보전관리지역</t>
        </is>
      </c>
      <c r="I10202" s="3" t="inlineStr">
        <is>
          <t>전</t>
        </is>
      </c>
      <c r="J10202" s="3" t="inlineStr">
        <is>
          <t>유구읍</t>
        </is>
      </c>
    </row>
    <row r="10203">
      <c r="A10203" s="3" t="n">
        <v>2023</v>
      </c>
      <c r="B10203" s="4" t="n">
        <v>347</v>
      </c>
      <c r="C10203" s="4" t="n">
        <v>327</v>
      </c>
      <c r="D10203" s="4" t="n">
        <v>98.9175</v>
      </c>
      <c r="E10203" s="5" t="n">
        <v>3.5</v>
      </c>
      <c r="F10203" s="3" t="inlineStr">
        <is>
          <t>유구읍</t>
        </is>
      </c>
      <c r="G10203" s="3" t="inlineStr">
        <is>
          <t>동해리</t>
        </is>
      </c>
      <c r="H10203" s="3" t="inlineStr">
        <is>
          <t>생산관리지역</t>
        </is>
      </c>
      <c r="I10203" s="3" t="inlineStr">
        <is>
          <t>전</t>
        </is>
      </c>
      <c r="J10203" s="3" t="inlineStr">
        <is>
          <t>유구읍</t>
        </is>
      </c>
    </row>
    <row r="10204">
      <c r="A10204" s="3" t="n">
        <v>2023</v>
      </c>
      <c r="B10204" s="4" t="n">
        <v>382</v>
      </c>
      <c r="C10204" s="4" t="n">
        <v>360</v>
      </c>
      <c r="D10204" s="4" t="n">
        <v>108.9</v>
      </c>
      <c r="E10204" s="5" t="n">
        <v>3.5</v>
      </c>
      <c r="F10204" s="3" t="inlineStr">
        <is>
          <t>유구읍</t>
        </is>
      </c>
      <c r="G10204" s="3" t="inlineStr">
        <is>
          <t>동해리</t>
        </is>
      </c>
      <c r="H10204" s="3" t="inlineStr">
        <is>
          <t>생산관리지역</t>
        </is>
      </c>
      <c r="I10204" s="3" t="inlineStr">
        <is>
          <t>답</t>
        </is>
      </c>
      <c r="J10204" s="3" t="inlineStr">
        <is>
          <t>유구읍</t>
        </is>
      </c>
    </row>
    <row r="10205">
      <c r="A10205" s="3" t="n">
        <v>2023</v>
      </c>
      <c r="B10205" s="4" t="n">
        <v>2000</v>
      </c>
      <c r="C10205" s="4" t="n">
        <v>1359</v>
      </c>
      <c r="D10205" s="4" t="n">
        <v>411.0975</v>
      </c>
      <c r="E10205" s="5" t="n">
        <v>4.9</v>
      </c>
      <c r="F10205" s="3" t="inlineStr">
        <is>
          <t>유구읍</t>
        </is>
      </c>
      <c r="G10205" s="3" t="inlineStr">
        <is>
          <t>명곡리</t>
        </is>
      </c>
      <c r="H10205" s="3" t="inlineStr">
        <is>
          <t>계획관리지역</t>
        </is>
      </c>
      <c r="I10205" s="3" t="inlineStr">
        <is>
          <t>전</t>
        </is>
      </c>
      <c r="J10205" s="3" t="inlineStr">
        <is>
          <t>유구읍</t>
        </is>
      </c>
    </row>
    <row r="10206">
      <c r="A10206" s="3" t="n">
        <v>2023</v>
      </c>
      <c r="B10206" s="4" t="n">
        <v>4000</v>
      </c>
      <c r="C10206" s="4" t="n">
        <v>1868</v>
      </c>
      <c r="D10206" s="4" t="n">
        <v>565.0699999999999</v>
      </c>
      <c r="E10206" s="5" t="n">
        <v>7.1</v>
      </c>
      <c r="F10206" s="3" t="inlineStr">
        <is>
          <t>유구읍</t>
        </is>
      </c>
      <c r="G10206" s="3" t="inlineStr">
        <is>
          <t>만천리</t>
        </is>
      </c>
      <c r="H10206" s="3" t="inlineStr">
        <is>
          <t>농림지역</t>
        </is>
      </c>
      <c r="I10206" s="3" t="inlineStr">
        <is>
          <t>전</t>
        </is>
      </c>
      <c r="J10206" s="3" t="inlineStr">
        <is>
          <t>유구읍</t>
        </is>
      </c>
    </row>
    <row r="10207">
      <c r="A10207" s="3" t="n">
        <v>2023</v>
      </c>
      <c r="B10207" s="4" t="n">
        <v>3975</v>
      </c>
      <c r="C10207" s="4" t="n">
        <v>1666</v>
      </c>
      <c r="D10207" s="4" t="n">
        <v>503.965</v>
      </c>
      <c r="E10207" s="5" t="n">
        <v>7.9</v>
      </c>
      <c r="F10207" s="3" t="inlineStr">
        <is>
          <t>유구읍</t>
        </is>
      </c>
      <c r="G10207" s="3" t="inlineStr">
        <is>
          <t>유구리</t>
        </is>
      </c>
      <c r="H10207" s="3" t="inlineStr">
        <is>
          <t>계획관리지역</t>
        </is>
      </c>
      <c r="I10207" s="3" t="inlineStr">
        <is>
          <t>전</t>
        </is>
      </c>
      <c r="J10207" s="3" t="inlineStr">
        <is>
          <t>유구읍</t>
        </is>
      </c>
    </row>
    <row r="10208">
      <c r="A10208" s="3" t="n">
        <v>2023</v>
      </c>
      <c r="B10208" s="4" t="n">
        <v>3667</v>
      </c>
      <c r="C10208" s="4" t="n">
        <v>1537</v>
      </c>
      <c r="D10208" s="4" t="n">
        <v>464.9425</v>
      </c>
      <c r="E10208" s="5" t="n">
        <v>7.9</v>
      </c>
      <c r="F10208" s="3" t="inlineStr">
        <is>
          <t>유구읍</t>
        </is>
      </c>
      <c r="G10208" s="3" t="inlineStr">
        <is>
          <t>유구리</t>
        </is>
      </c>
      <c r="H10208" s="3" t="inlineStr">
        <is>
          <t>계획관리지역</t>
        </is>
      </c>
      <c r="I10208" s="3" t="inlineStr">
        <is>
          <t>답</t>
        </is>
      </c>
      <c r="J10208" s="3" t="inlineStr">
        <is>
          <t>유구읍</t>
        </is>
      </c>
    </row>
    <row r="10209">
      <c r="A10209" s="3" t="n">
        <v>2023</v>
      </c>
      <c r="B10209" s="4" t="n">
        <v>4354</v>
      </c>
      <c r="C10209" s="4" t="n">
        <v>1825</v>
      </c>
      <c r="D10209" s="4" t="n">
        <v>552.0625</v>
      </c>
      <c r="E10209" s="5" t="n">
        <v>7.9</v>
      </c>
      <c r="F10209" s="3" t="inlineStr">
        <is>
          <t>유구읍</t>
        </is>
      </c>
      <c r="G10209" s="3" t="inlineStr">
        <is>
          <t>유구리</t>
        </is>
      </c>
      <c r="H10209" s="3" t="inlineStr">
        <is>
          <t>계획관리지역</t>
        </is>
      </c>
      <c r="I10209" s="3" t="inlineStr">
        <is>
          <t>전</t>
        </is>
      </c>
      <c r="J10209" s="3" t="inlineStr">
        <is>
          <t>유구읍</t>
        </is>
      </c>
    </row>
    <row r="10210">
      <c r="A10210" s="3" t="n">
        <v>2023</v>
      </c>
      <c r="B10210" s="4" t="n">
        <v>1870</v>
      </c>
      <c r="C10210" s="4" t="n">
        <v>784</v>
      </c>
      <c r="D10210" s="4" t="n">
        <v>237.16</v>
      </c>
      <c r="E10210" s="5" t="n">
        <v>7.9</v>
      </c>
      <c r="F10210" s="3" t="inlineStr">
        <is>
          <t>유구읍</t>
        </is>
      </c>
      <c r="G10210" s="3" t="inlineStr">
        <is>
          <t>유구리</t>
        </is>
      </c>
      <c r="H10210" s="3" t="inlineStr">
        <is>
          <t>계획관리지역</t>
        </is>
      </c>
      <c r="I10210" s="3" t="inlineStr">
        <is>
          <t>전</t>
        </is>
      </c>
      <c r="J10210" s="3" t="inlineStr">
        <is>
          <t>유구읍</t>
        </is>
      </c>
    </row>
    <row r="10211">
      <c r="A10211" s="3" t="n">
        <v>2023</v>
      </c>
      <c r="B10211" s="4" t="n">
        <v>134</v>
      </c>
      <c r="C10211" s="4" t="n">
        <v>56</v>
      </c>
      <c r="D10211" s="4" t="n">
        <v>16.94</v>
      </c>
      <c r="E10211" s="5" t="n">
        <v>7.9</v>
      </c>
      <c r="F10211" s="3" t="inlineStr">
        <is>
          <t>유구읍</t>
        </is>
      </c>
      <c r="G10211" s="3" t="inlineStr">
        <is>
          <t>유구리</t>
        </is>
      </c>
      <c r="H10211" s="3" t="inlineStr">
        <is>
          <t>계획관리지역</t>
        </is>
      </c>
      <c r="I10211" s="3" t="inlineStr">
        <is>
          <t>답</t>
        </is>
      </c>
      <c r="J10211" s="3" t="inlineStr">
        <is>
          <t>유구읍</t>
        </is>
      </c>
    </row>
    <row r="10212">
      <c r="A10212" s="3" t="n">
        <v>2023</v>
      </c>
      <c r="B10212" s="4" t="n">
        <v>10104</v>
      </c>
      <c r="C10212" s="4" t="n">
        <v>1666</v>
      </c>
      <c r="D10212" s="4" t="n">
        <v>503.965</v>
      </c>
      <c r="E10212" s="5" t="n">
        <v>20</v>
      </c>
      <c r="F10212" s="3" t="inlineStr">
        <is>
          <t>유구읍</t>
        </is>
      </c>
      <c r="G10212" s="3" t="inlineStr">
        <is>
          <t>유구리</t>
        </is>
      </c>
      <c r="H10212" s="3" t="inlineStr">
        <is>
          <t>계획관리지역</t>
        </is>
      </c>
      <c r="I10212" s="3" t="inlineStr">
        <is>
          <t>전</t>
        </is>
      </c>
      <c r="J10212" s="3" t="inlineStr">
        <is>
          <t>유구읍</t>
        </is>
      </c>
    </row>
    <row r="10213">
      <c r="A10213" s="3" t="n">
        <v>2023</v>
      </c>
      <c r="B10213" s="4" t="n">
        <v>10369</v>
      </c>
      <c r="C10213" s="4" t="n">
        <v>1537</v>
      </c>
      <c r="D10213" s="4" t="n">
        <v>464.9425</v>
      </c>
      <c r="E10213" s="5" t="n">
        <v>22.3</v>
      </c>
      <c r="F10213" s="3" t="inlineStr">
        <is>
          <t>유구읍</t>
        </is>
      </c>
      <c r="G10213" s="3" t="inlineStr">
        <is>
          <t>유구리</t>
        </is>
      </c>
      <c r="H10213" s="3" t="inlineStr">
        <is>
          <t>계획관리지역</t>
        </is>
      </c>
      <c r="I10213" s="3" t="inlineStr">
        <is>
          <t>답</t>
        </is>
      </c>
      <c r="J10213" s="3" t="inlineStr">
        <is>
          <t>유구읍</t>
        </is>
      </c>
    </row>
    <row r="10214">
      <c r="A10214" s="3" t="n">
        <v>2023</v>
      </c>
      <c r="B10214" s="4" t="n">
        <v>12432</v>
      </c>
      <c r="C10214" s="4" t="n">
        <v>1825</v>
      </c>
      <c r="D10214" s="4" t="n">
        <v>552.0625</v>
      </c>
      <c r="E10214" s="5" t="n">
        <v>22.5</v>
      </c>
      <c r="F10214" s="3" t="inlineStr">
        <is>
          <t>유구읍</t>
        </is>
      </c>
      <c r="G10214" s="3" t="inlineStr">
        <is>
          <t>유구리</t>
        </is>
      </c>
      <c r="H10214" s="3" t="inlineStr">
        <is>
          <t>계획관리지역</t>
        </is>
      </c>
      <c r="I10214" s="3" t="inlineStr">
        <is>
          <t>전</t>
        </is>
      </c>
      <c r="J10214" s="3" t="inlineStr">
        <is>
          <t>유구읍</t>
        </is>
      </c>
    </row>
    <row r="10215">
      <c r="A10215" s="3" t="n">
        <v>2023</v>
      </c>
      <c r="B10215" s="4" t="n">
        <v>4755</v>
      </c>
      <c r="C10215" s="4" t="n">
        <v>784</v>
      </c>
      <c r="D10215" s="4" t="n">
        <v>237.16</v>
      </c>
      <c r="E10215" s="5" t="n">
        <v>20</v>
      </c>
      <c r="F10215" s="3" t="inlineStr">
        <is>
          <t>유구읍</t>
        </is>
      </c>
      <c r="G10215" s="3" t="inlineStr">
        <is>
          <t>유구리</t>
        </is>
      </c>
      <c r="H10215" s="3" t="inlineStr">
        <is>
          <t>계획관리지역</t>
        </is>
      </c>
      <c r="I10215" s="3" t="inlineStr">
        <is>
          <t>전</t>
        </is>
      </c>
      <c r="J10215" s="3" t="inlineStr">
        <is>
          <t>유구읍</t>
        </is>
      </c>
    </row>
    <row r="10216">
      <c r="A10216" s="3" t="n">
        <v>2023</v>
      </c>
      <c r="B10216" s="4" t="n">
        <v>340</v>
      </c>
      <c r="C10216" s="4" t="n">
        <v>56</v>
      </c>
      <c r="D10216" s="4" t="n">
        <v>16.94</v>
      </c>
      <c r="E10216" s="5" t="n">
        <v>20.1</v>
      </c>
      <c r="F10216" s="3" t="inlineStr">
        <is>
          <t>유구읍</t>
        </is>
      </c>
      <c r="G10216" s="3" t="inlineStr">
        <is>
          <t>유구리</t>
        </is>
      </c>
      <c r="H10216" s="3" t="inlineStr">
        <is>
          <t>계획관리지역</t>
        </is>
      </c>
      <c r="I10216" s="3" t="inlineStr">
        <is>
          <t>답</t>
        </is>
      </c>
      <c r="J10216" s="3" t="inlineStr">
        <is>
          <t>유구읍</t>
        </is>
      </c>
    </row>
    <row r="10217">
      <c r="A10217" s="3" t="n">
        <v>2023</v>
      </c>
      <c r="B10217" s="4" t="n">
        <v>12000</v>
      </c>
      <c r="C10217" s="4" t="n">
        <v>300</v>
      </c>
      <c r="D10217" s="4" t="n">
        <v>90.75</v>
      </c>
      <c r="E10217" s="5" t="n">
        <v>132.2</v>
      </c>
      <c r="F10217" s="3" t="inlineStr">
        <is>
          <t>유구읍</t>
        </is>
      </c>
      <c r="G10217" s="3" t="inlineStr">
        <is>
          <t>백교리</t>
        </is>
      </c>
      <c r="H10217" s="3" t="inlineStr">
        <is>
          <t>일반상업지역</t>
        </is>
      </c>
      <c r="I10217" s="3" t="inlineStr">
        <is>
          <t>답</t>
        </is>
      </c>
      <c r="J10217" s="3" t="inlineStr">
        <is>
          <t>유구읍</t>
        </is>
      </c>
    </row>
    <row r="10218">
      <c r="A10218" s="3" t="n">
        <v>2023</v>
      </c>
      <c r="B10218" s="4" t="n">
        <v>6000</v>
      </c>
      <c r="C10218" s="4" t="n">
        <v>702</v>
      </c>
      <c r="D10218" s="4" t="n">
        <v>212.355</v>
      </c>
      <c r="E10218" s="5" t="n">
        <v>28.3</v>
      </c>
      <c r="F10218" s="3" t="inlineStr">
        <is>
          <t>유구읍</t>
        </is>
      </c>
      <c r="G10218" s="3" t="inlineStr">
        <is>
          <t>탑곡리</t>
        </is>
      </c>
      <c r="H10218" s="3" t="inlineStr">
        <is>
          <t>계획관리지역</t>
        </is>
      </c>
      <c r="I10218" s="3" t="inlineStr">
        <is>
          <t>답</t>
        </is>
      </c>
      <c r="J10218" s="3" t="inlineStr">
        <is>
          <t>유구읍</t>
        </is>
      </c>
    </row>
    <row r="10219">
      <c r="A10219" s="3" t="n">
        <v>2023</v>
      </c>
      <c r="B10219" s="4" t="n">
        <v>4636</v>
      </c>
      <c r="C10219" s="4" t="n">
        <v>1703</v>
      </c>
      <c r="D10219" s="4" t="n">
        <v>515.1575</v>
      </c>
      <c r="E10219" s="5" t="n">
        <v>9</v>
      </c>
      <c r="F10219" s="3" t="inlineStr">
        <is>
          <t>유구읍</t>
        </is>
      </c>
      <c r="G10219" s="3" t="inlineStr">
        <is>
          <t>만천리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유구읍</t>
        </is>
      </c>
    </row>
    <row r="10220">
      <c r="A10220" s="3" t="n">
        <v>2023</v>
      </c>
      <c r="B10220" s="4" t="n">
        <v>6107</v>
      </c>
      <c r="C10220" s="4" t="n">
        <v>2243</v>
      </c>
      <c r="D10220" s="4" t="n">
        <v>678.5074999999999</v>
      </c>
      <c r="E10220" s="5" t="n">
        <v>9</v>
      </c>
      <c r="F10220" s="3" t="inlineStr">
        <is>
          <t>유구읍</t>
        </is>
      </c>
      <c r="G10220" s="3" t="inlineStr">
        <is>
          <t>만천리</t>
        </is>
      </c>
      <c r="H10220" s="3" t="inlineStr">
        <is>
          <t>농림지역</t>
        </is>
      </c>
      <c r="I10220" s="3" t="inlineStr">
        <is>
          <t>답</t>
        </is>
      </c>
      <c r="J10220" s="3" t="inlineStr">
        <is>
          <t>유구읍</t>
        </is>
      </c>
    </row>
    <row r="10221">
      <c r="A10221" s="3" t="n">
        <v>2023</v>
      </c>
      <c r="B10221" s="4" t="n">
        <v>305</v>
      </c>
      <c r="C10221" s="4" t="n">
        <v>112</v>
      </c>
      <c r="D10221" s="4" t="n">
        <v>33.88</v>
      </c>
      <c r="E10221" s="5" t="n">
        <v>9</v>
      </c>
      <c r="F10221" s="3" t="inlineStr">
        <is>
          <t>유구읍</t>
        </is>
      </c>
      <c r="G10221" s="3" t="inlineStr">
        <is>
          <t>만천리</t>
        </is>
      </c>
      <c r="H10221" s="3" t="inlineStr">
        <is>
          <t>계획관리지역</t>
        </is>
      </c>
      <c r="I10221" s="3" t="inlineStr">
        <is>
          <t>답</t>
        </is>
      </c>
      <c r="J10221" s="3" t="inlineStr">
        <is>
          <t>유구읍</t>
        </is>
      </c>
    </row>
    <row r="10222">
      <c r="A10222" s="3" t="n">
        <v>2023</v>
      </c>
      <c r="B10222" s="4" t="n">
        <v>253</v>
      </c>
      <c r="C10222" s="4" t="n">
        <v>90</v>
      </c>
      <c r="D10222" s="4" t="n">
        <v>27.225</v>
      </c>
      <c r="E10222" s="5" t="n">
        <v>9.300000000000001</v>
      </c>
      <c r="F10222" s="3" t="inlineStr">
        <is>
          <t>유구읍</t>
        </is>
      </c>
      <c r="G10222" s="3" t="inlineStr">
        <is>
          <t>만천리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유구읍</t>
        </is>
      </c>
    </row>
    <row r="10223">
      <c r="A10223" s="3" t="n">
        <v>2024</v>
      </c>
      <c r="B10223" s="4" t="n">
        <v>350</v>
      </c>
      <c r="C10223" s="4" t="n">
        <v>31</v>
      </c>
      <c r="D10223" s="4" t="n">
        <v>9.3775</v>
      </c>
      <c r="E10223" s="5" t="n">
        <v>37.3</v>
      </c>
      <c r="F10223" s="3" t="inlineStr">
        <is>
          <t>유구읍</t>
        </is>
      </c>
      <c r="G10223" s="3" t="inlineStr">
        <is>
          <t>녹천리</t>
        </is>
      </c>
      <c r="H10223" s="3" t="inlineStr">
        <is>
          <t>자연녹지지역</t>
        </is>
      </c>
      <c r="I10223" s="3" t="inlineStr">
        <is>
          <t>도로</t>
        </is>
      </c>
      <c r="J10223" s="3" t="inlineStr">
        <is>
          <t>유구읍</t>
        </is>
      </c>
    </row>
    <row r="10224">
      <c r="A10224" s="3" t="n">
        <v>2024</v>
      </c>
      <c r="B10224" s="4" t="n">
        <v>7128</v>
      </c>
      <c r="C10224" s="4" t="n">
        <v>2618</v>
      </c>
      <c r="D10224" s="4" t="n">
        <v>791.9449999999999</v>
      </c>
      <c r="E10224" s="5" t="n">
        <v>9</v>
      </c>
      <c r="F10224" s="3" t="inlineStr">
        <is>
          <t>유구읍</t>
        </is>
      </c>
      <c r="G10224" s="3" t="inlineStr">
        <is>
          <t>만천리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유구읍</t>
        </is>
      </c>
    </row>
    <row r="10225">
      <c r="A10225" s="3" t="n">
        <v>2024</v>
      </c>
      <c r="B10225" s="4" t="n">
        <v>5400</v>
      </c>
      <c r="C10225" s="4" t="n">
        <v>662</v>
      </c>
      <c r="D10225" s="4" t="n">
        <v>200.255</v>
      </c>
      <c r="E10225" s="5" t="n">
        <v>27</v>
      </c>
      <c r="F10225" s="3" t="inlineStr">
        <is>
          <t>유구읍</t>
        </is>
      </c>
      <c r="G10225" s="3" t="inlineStr">
        <is>
          <t>녹천리</t>
        </is>
      </c>
      <c r="H10225" s="3" t="inlineStr">
        <is>
          <t>계획관리지역</t>
        </is>
      </c>
      <c r="I10225" s="3" t="inlineStr">
        <is>
          <t>전</t>
        </is>
      </c>
      <c r="J10225" s="3" t="inlineStr">
        <is>
          <t>유구읍</t>
        </is>
      </c>
    </row>
    <row r="10226">
      <c r="A10226" s="3" t="n">
        <v>2024</v>
      </c>
      <c r="B10226" s="4" t="n">
        <v>2200</v>
      </c>
      <c r="C10226" s="4" t="n">
        <v>1001</v>
      </c>
      <c r="D10226" s="4" t="n">
        <v>302.8025</v>
      </c>
      <c r="E10226" s="5" t="n">
        <v>7.3</v>
      </c>
      <c r="F10226" s="3" t="inlineStr">
        <is>
          <t>유구읍</t>
        </is>
      </c>
      <c r="G10226" s="3" t="inlineStr">
        <is>
          <t>덕곡리</t>
        </is>
      </c>
      <c r="H10226" s="3" t="inlineStr">
        <is>
          <t>생산관리지역</t>
        </is>
      </c>
      <c r="I10226" s="3" t="inlineStr">
        <is>
          <t>전</t>
        </is>
      </c>
      <c r="J10226" s="3" t="inlineStr">
        <is>
          <t>유구읍</t>
        </is>
      </c>
    </row>
    <row r="10227">
      <c r="A10227" s="3" t="n">
        <v>2024</v>
      </c>
      <c r="B10227" s="4" t="n">
        <v>2200</v>
      </c>
      <c r="C10227" s="4" t="n">
        <v>1331</v>
      </c>
      <c r="D10227" s="4" t="n">
        <v>402.6275</v>
      </c>
      <c r="E10227" s="5" t="n">
        <v>5.5</v>
      </c>
      <c r="F10227" s="3" t="inlineStr">
        <is>
          <t>유구읍</t>
        </is>
      </c>
      <c r="G10227" s="3" t="inlineStr">
        <is>
          <t>덕곡리</t>
        </is>
      </c>
      <c r="H10227" s="3" t="inlineStr">
        <is>
          <t>생산관리지역</t>
        </is>
      </c>
      <c r="I10227" s="3" t="inlineStr">
        <is>
          <t>전</t>
        </is>
      </c>
      <c r="J10227" s="3" t="inlineStr">
        <is>
          <t>유구읍</t>
        </is>
      </c>
    </row>
    <row r="10228">
      <c r="A10228" s="3" t="n">
        <v>2024</v>
      </c>
      <c r="B10228" s="4" t="n">
        <v>2200</v>
      </c>
      <c r="C10228" s="4" t="n">
        <v>899</v>
      </c>
      <c r="D10228" s="4" t="n">
        <v>271.9475</v>
      </c>
      <c r="E10228" s="5" t="n">
        <v>8.1</v>
      </c>
      <c r="F10228" s="3" t="inlineStr">
        <is>
          <t>유구읍</t>
        </is>
      </c>
      <c r="G10228" s="3" t="inlineStr">
        <is>
          <t>덕곡리</t>
        </is>
      </c>
      <c r="H10228" s="3" t="inlineStr">
        <is>
          <t>생산관리지역</t>
        </is>
      </c>
      <c r="I10228" s="3" t="inlineStr">
        <is>
          <t>전</t>
        </is>
      </c>
      <c r="J10228" s="3" t="inlineStr">
        <is>
          <t>유구읍</t>
        </is>
      </c>
    </row>
    <row r="10229">
      <c r="A10229" s="3" t="n">
        <v>2024</v>
      </c>
      <c r="B10229" s="4" t="n">
        <v>2200</v>
      </c>
      <c r="C10229" s="4" t="n">
        <v>2204</v>
      </c>
      <c r="D10229" s="4" t="n">
        <v>666.71</v>
      </c>
      <c r="E10229" s="5" t="n">
        <v>3.3</v>
      </c>
      <c r="F10229" s="3" t="inlineStr">
        <is>
          <t>유구읍</t>
        </is>
      </c>
      <c r="G10229" s="3" t="inlineStr">
        <is>
          <t>덕곡리</t>
        </is>
      </c>
      <c r="H10229" s="3" t="inlineStr">
        <is>
          <t>생산관리지역</t>
        </is>
      </c>
      <c r="I10229" s="3" t="inlineStr">
        <is>
          <t>잡종지</t>
        </is>
      </c>
      <c r="J10229" s="3" t="inlineStr">
        <is>
          <t>유구읍</t>
        </is>
      </c>
    </row>
    <row r="10230">
      <c r="A10230" s="3" t="n">
        <v>2024</v>
      </c>
      <c r="B10230" s="4" t="n">
        <v>1300</v>
      </c>
      <c r="C10230" s="4" t="n">
        <v>2296</v>
      </c>
      <c r="D10230" s="4" t="n">
        <v>694.54</v>
      </c>
      <c r="E10230" s="5" t="n">
        <v>1.9</v>
      </c>
      <c r="F10230" s="3" t="inlineStr">
        <is>
          <t>유구읍</t>
        </is>
      </c>
      <c r="G10230" s="3" t="inlineStr">
        <is>
          <t>신영리</t>
        </is>
      </c>
      <c r="H10230" s="3" t="inlineStr">
        <is>
          <t>보전관리지역</t>
        </is>
      </c>
      <c r="I10230" s="3" t="inlineStr">
        <is>
          <t>임야</t>
        </is>
      </c>
      <c r="J10230" s="3" t="inlineStr">
        <is>
          <t>유구읍</t>
        </is>
      </c>
    </row>
    <row r="10231">
      <c r="A10231" s="3" t="n">
        <v>2024</v>
      </c>
      <c r="B10231" s="4" t="n">
        <v>900</v>
      </c>
      <c r="C10231" s="4" t="n">
        <v>545</v>
      </c>
      <c r="D10231" s="4" t="n">
        <v>164.8625</v>
      </c>
      <c r="E10231" s="5" t="n">
        <v>5.5</v>
      </c>
      <c r="F10231" s="3" t="inlineStr">
        <is>
          <t>유구읍</t>
        </is>
      </c>
      <c r="G10231" s="3" t="inlineStr">
        <is>
          <t>연종리</t>
        </is>
      </c>
      <c r="H10231" s="3" t="inlineStr">
        <is>
          <t>계획관리지역</t>
        </is>
      </c>
      <c r="I10231" s="3" t="inlineStr">
        <is>
          <t>전</t>
        </is>
      </c>
      <c r="J10231" s="3" t="inlineStr">
        <is>
          <t>유구읍</t>
        </is>
      </c>
    </row>
    <row r="10232">
      <c r="A10232" s="3" t="n">
        <v>2024</v>
      </c>
      <c r="B10232" s="4" t="n">
        <v>5500</v>
      </c>
      <c r="C10232" s="4" t="n">
        <v>1287</v>
      </c>
      <c r="D10232" s="4" t="n">
        <v>389.3175</v>
      </c>
      <c r="E10232" s="5" t="n">
        <v>14.1</v>
      </c>
      <c r="F10232" s="3" t="inlineStr">
        <is>
          <t>유구읍</t>
        </is>
      </c>
      <c r="G10232" s="3" t="inlineStr">
        <is>
          <t>추계리</t>
        </is>
      </c>
      <c r="H10232" s="3" t="inlineStr">
        <is>
          <t>계획관리지역</t>
        </is>
      </c>
      <c r="I10232" s="3" t="inlineStr">
        <is>
          <t>답</t>
        </is>
      </c>
      <c r="J10232" s="3" t="inlineStr">
        <is>
          <t>유구읍</t>
        </is>
      </c>
    </row>
    <row r="10233">
      <c r="A10233" s="3" t="n">
        <v>2024</v>
      </c>
      <c r="B10233" s="4" t="n">
        <v>5497</v>
      </c>
      <c r="C10233" s="4" t="n">
        <v>336</v>
      </c>
      <c r="D10233" s="4" t="n">
        <v>101.64</v>
      </c>
      <c r="E10233" s="5" t="n">
        <v>54.1</v>
      </c>
      <c r="F10233" s="3" t="inlineStr">
        <is>
          <t>유구읍</t>
        </is>
      </c>
      <c r="G10233" s="3" t="inlineStr">
        <is>
          <t>석남리</t>
        </is>
      </c>
      <c r="H10233" s="3" t="inlineStr">
        <is>
          <t>제2종일반주거지역</t>
        </is>
      </c>
      <c r="I10233" s="3" t="inlineStr">
        <is>
          <t>답</t>
        </is>
      </c>
      <c r="J10233" s="3" t="inlineStr">
        <is>
          <t>유구읍</t>
        </is>
      </c>
    </row>
    <row r="10234">
      <c r="A10234" s="3" t="n">
        <v>2024</v>
      </c>
      <c r="B10234" s="4" t="n">
        <v>1325</v>
      </c>
      <c r="C10234" s="4" t="n">
        <v>81</v>
      </c>
      <c r="D10234" s="4" t="n">
        <v>24.5025</v>
      </c>
      <c r="E10234" s="5" t="n">
        <v>54.1</v>
      </c>
      <c r="F10234" s="3" t="inlineStr">
        <is>
          <t>유구읍</t>
        </is>
      </c>
      <c r="G10234" s="3" t="inlineStr">
        <is>
          <t>석남리</t>
        </is>
      </c>
      <c r="H10234" s="3" t="inlineStr">
        <is>
          <t>제2종일반주거지역</t>
        </is>
      </c>
      <c r="I10234" s="3" t="inlineStr">
        <is>
          <t>답</t>
        </is>
      </c>
      <c r="J10234" s="3" t="inlineStr">
        <is>
          <t>유구읍</t>
        </is>
      </c>
    </row>
    <row r="10235">
      <c r="A10235" s="3" t="n">
        <v>2024</v>
      </c>
      <c r="B10235" s="4" t="n">
        <v>230</v>
      </c>
      <c r="C10235" s="4" t="n">
        <v>14</v>
      </c>
      <c r="D10235" s="4" t="n">
        <v>4.234999999999999</v>
      </c>
      <c r="E10235" s="5" t="n">
        <v>54.3</v>
      </c>
      <c r="F10235" s="3" t="inlineStr">
        <is>
          <t>유구읍</t>
        </is>
      </c>
      <c r="G10235" s="3" t="inlineStr">
        <is>
          <t>석남리</t>
        </is>
      </c>
      <c r="H10235" s="3" t="inlineStr">
        <is>
          <t>제2종일반주거지역</t>
        </is>
      </c>
      <c r="I10235" s="3" t="inlineStr">
        <is>
          <t>답</t>
        </is>
      </c>
      <c r="J10235" s="3" t="inlineStr">
        <is>
          <t>유구읍</t>
        </is>
      </c>
    </row>
    <row r="10236">
      <c r="A10236" s="3" t="n">
        <v>2024</v>
      </c>
      <c r="B10236" s="4" t="n">
        <v>400</v>
      </c>
      <c r="C10236" s="4" t="n">
        <v>281</v>
      </c>
      <c r="D10236" s="4" t="n">
        <v>85.0025</v>
      </c>
      <c r="E10236" s="5" t="n">
        <v>4.7</v>
      </c>
      <c r="F10236" s="3" t="inlineStr">
        <is>
          <t>유구읍</t>
        </is>
      </c>
      <c r="G10236" s="3" t="inlineStr">
        <is>
          <t>녹천리</t>
        </is>
      </c>
      <c r="H10236" s="3" t="inlineStr">
        <is>
          <t>계획관리지역</t>
        </is>
      </c>
      <c r="I10236" s="3" t="inlineStr">
        <is>
          <t>대</t>
        </is>
      </c>
      <c r="J10236" s="3" t="inlineStr">
        <is>
          <t>유구읍</t>
        </is>
      </c>
    </row>
    <row r="10237">
      <c r="A10237" s="3" t="n">
        <v>2024</v>
      </c>
      <c r="B10237" s="4" t="n">
        <v>500</v>
      </c>
      <c r="C10237" s="4" t="n">
        <v>92</v>
      </c>
      <c r="D10237" s="4" t="n">
        <v>27.83</v>
      </c>
      <c r="E10237" s="5" t="n">
        <v>18</v>
      </c>
      <c r="F10237" s="3" t="inlineStr">
        <is>
          <t>유구읍</t>
        </is>
      </c>
      <c r="G10237" s="3" t="inlineStr">
        <is>
          <t>구계리</t>
        </is>
      </c>
      <c r="H10237" s="3" t="inlineStr">
        <is>
          <t>계획관리지역</t>
        </is>
      </c>
      <c r="I10237" s="3" t="inlineStr">
        <is>
          <t>전</t>
        </is>
      </c>
      <c r="J10237" s="3" t="inlineStr">
        <is>
          <t>유구읍</t>
        </is>
      </c>
    </row>
    <row r="10238">
      <c r="A10238" s="3" t="n">
        <v>2024</v>
      </c>
      <c r="B10238" s="4" t="n">
        <v>9500</v>
      </c>
      <c r="C10238" s="4" t="n">
        <v>1488</v>
      </c>
      <c r="D10238" s="4" t="n">
        <v>450.12</v>
      </c>
      <c r="E10238" s="5" t="n">
        <v>21.1</v>
      </c>
      <c r="F10238" s="3" t="inlineStr">
        <is>
          <t>유구읍</t>
        </is>
      </c>
      <c r="G10238" s="3" t="inlineStr">
        <is>
          <t>덕곡리</t>
        </is>
      </c>
      <c r="H10238" s="3" t="inlineStr">
        <is>
          <t>계획관리지역</t>
        </is>
      </c>
      <c r="I10238" s="3" t="inlineStr">
        <is>
          <t>답</t>
        </is>
      </c>
      <c r="J10238" s="3" t="inlineStr">
        <is>
          <t>유구읍</t>
        </is>
      </c>
    </row>
    <row r="10239">
      <c r="A10239" s="3" t="n">
        <v>2024</v>
      </c>
      <c r="B10239" s="4" t="n">
        <v>5000</v>
      </c>
      <c r="C10239" s="4" t="n">
        <v>748</v>
      </c>
      <c r="D10239" s="4" t="n">
        <v>226.27</v>
      </c>
      <c r="E10239" s="5" t="n">
        <v>22.1</v>
      </c>
      <c r="F10239" s="3" t="inlineStr">
        <is>
          <t>유구읍</t>
        </is>
      </c>
      <c r="G10239" s="3" t="inlineStr">
        <is>
          <t>덕곡리</t>
        </is>
      </c>
      <c r="H10239" s="3" t="inlineStr">
        <is>
          <t>보전관리지역</t>
        </is>
      </c>
      <c r="I10239" s="3" t="inlineStr">
        <is>
          <t>전</t>
        </is>
      </c>
      <c r="J10239" s="3" t="inlineStr">
        <is>
          <t>유구읍</t>
        </is>
      </c>
    </row>
    <row r="10240">
      <c r="A10240" s="3" t="n">
        <v>2024</v>
      </c>
      <c r="B10240" s="4" t="n">
        <v>2401</v>
      </c>
      <c r="C10240" s="4" t="n">
        <v>686</v>
      </c>
      <c r="D10240" s="4" t="n">
        <v>207.515</v>
      </c>
      <c r="E10240" s="5" t="n">
        <v>11.6</v>
      </c>
      <c r="F10240" s="3" t="inlineStr">
        <is>
          <t>유구읍</t>
        </is>
      </c>
      <c r="G10240" s="3" t="inlineStr">
        <is>
          <t>만천리</t>
        </is>
      </c>
      <c r="H10240" s="3" t="inlineStr">
        <is>
          <t>농림지역</t>
        </is>
      </c>
      <c r="I10240" s="3" t="inlineStr">
        <is>
          <t>답</t>
        </is>
      </c>
      <c r="J10240" s="3" t="inlineStr">
        <is>
          <t>유구읍</t>
        </is>
      </c>
    </row>
    <row r="10241">
      <c r="A10241" s="3" t="n">
        <v>2024</v>
      </c>
      <c r="B10241" s="4" t="n">
        <v>1554</v>
      </c>
      <c r="C10241" s="4" t="n">
        <v>268</v>
      </c>
      <c r="D10241" s="4" t="n">
        <v>81.06999999999999</v>
      </c>
      <c r="E10241" s="5" t="n">
        <v>19.2</v>
      </c>
      <c r="F10241" s="3" t="inlineStr">
        <is>
          <t>유구읍</t>
        </is>
      </c>
      <c r="G10241" s="3" t="inlineStr">
        <is>
          <t>백교리</t>
        </is>
      </c>
      <c r="H10241" s="3" t="inlineStr">
        <is>
          <t>자연녹지지역</t>
        </is>
      </c>
      <c r="I10241" s="3" t="inlineStr">
        <is>
          <t>전</t>
        </is>
      </c>
      <c r="J10241" s="3" t="inlineStr">
        <is>
          <t>유구읍</t>
        </is>
      </c>
    </row>
    <row r="10242">
      <c r="A10242" s="3" t="n">
        <v>2024</v>
      </c>
      <c r="B10242" s="4" t="n">
        <v>3010</v>
      </c>
      <c r="C10242" s="4" t="n">
        <v>519</v>
      </c>
      <c r="D10242" s="4" t="n">
        <v>156.9975</v>
      </c>
      <c r="E10242" s="5" t="n">
        <v>19.2</v>
      </c>
      <c r="F10242" s="3" t="inlineStr">
        <is>
          <t>유구읍</t>
        </is>
      </c>
      <c r="G10242" s="3" t="inlineStr">
        <is>
          <t>백교리</t>
        </is>
      </c>
      <c r="H10242" s="3" t="inlineStr">
        <is>
          <t>자연녹지지역</t>
        </is>
      </c>
      <c r="I10242" s="3" t="inlineStr">
        <is>
          <t>전</t>
        </is>
      </c>
      <c r="J10242" s="3" t="inlineStr">
        <is>
          <t>유구읍</t>
        </is>
      </c>
    </row>
    <row r="10243">
      <c r="A10243" s="3" t="n">
        <v>2024</v>
      </c>
      <c r="B10243" s="4" t="n">
        <v>3410</v>
      </c>
      <c r="C10243" s="4" t="n">
        <v>588</v>
      </c>
      <c r="D10243" s="4" t="n">
        <v>177.87</v>
      </c>
      <c r="E10243" s="5" t="n">
        <v>19.2</v>
      </c>
      <c r="F10243" s="3" t="inlineStr">
        <is>
          <t>유구읍</t>
        </is>
      </c>
      <c r="G10243" s="3" t="inlineStr">
        <is>
          <t>백교리</t>
        </is>
      </c>
      <c r="H10243" s="3" t="inlineStr">
        <is>
          <t>자연녹지지역</t>
        </is>
      </c>
      <c r="I10243" s="3" t="inlineStr">
        <is>
          <t>전</t>
        </is>
      </c>
      <c r="J10243" s="3" t="inlineStr">
        <is>
          <t>유구읍</t>
        </is>
      </c>
    </row>
    <row r="10244">
      <c r="A10244" s="3" t="n">
        <v>2024</v>
      </c>
      <c r="B10244" s="4" t="n">
        <v>6365</v>
      </c>
      <c r="C10244" s="4" t="n">
        <v>1273</v>
      </c>
      <c r="D10244" s="4" t="n">
        <v>385.0825</v>
      </c>
      <c r="E10244" s="5" t="n">
        <v>16.5</v>
      </c>
      <c r="F10244" s="3" t="inlineStr">
        <is>
          <t>유구읍</t>
        </is>
      </c>
      <c r="G10244" s="3" t="inlineStr">
        <is>
          <t>유구리</t>
        </is>
      </c>
      <c r="H10244" s="3" t="inlineStr">
        <is>
          <t>계획관리지역</t>
        </is>
      </c>
      <c r="I10244" s="3" t="inlineStr">
        <is>
          <t>답</t>
        </is>
      </c>
      <c r="J10244" s="3" t="inlineStr">
        <is>
          <t>유구읍</t>
        </is>
      </c>
    </row>
    <row r="10245">
      <c r="A10245" s="3" t="n">
        <v>2024</v>
      </c>
      <c r="B10245" s="4" t="n">
        <v>2265</v>
      </c>
      <c r="C10245" s="4" t="n">
        <v>453</v>
      </c>
      <c r="D10245" s="4" t="n">
        <v>137.0325</v>
      </c>
      <c r="E10245" s="5" t="n">
        <v>16.5</v>
      </c>
      <c r="F10245" s="3" t="inlineStr">
        <is>
          <t>유구읍</t>
        </is>
      </c>
      <c r="G10245" s="3" t="inlineStr">
        <is>
          <t>유구리</t>
        </is>
      </c>
      <c r="H10245" s="3" t="inlineStr">
        <is>
          <t>계획관리지역</t>
        </is>
      </c>
      <c r="I10245" s="3" t="inlineStr">
        <is>
          <t>답</t>
        </is>
      </c>
      <c r="J10245" s="3" t="inlineStr">
        <is>
          <t>유구읍</t>
        </is>
      </c>
    </row>
    <row r="10246">
      <c r="A10246" s="3" t="n">
        <v>2024</v>
      </c>
      <c r="B10246" s="4" t="n">
        <v>3205</v>
      </c>
      <c r="C10246" s="4" t="n">
        <v>641</v>
      </c>
      <c r="D10246" s="4" t="n">
        <v>193.9025</v>
      </c>
      <c r="E10246" s="5" t="n">
        <v>16.5</v>
      </c>
      <c r="F10246" s="3" t="inlineStr">
        <is>
          <t>유구읍</t>
        </is>
      </c>
      <c r="G10246" s="3" t="inlineStr">
        <is>
          <t>유구리</t>
        </is>
      </c>
      <c r="H10246" s="3" t="inlineStr">
        <is>
          <t>계획관리지역</t>
        </is>
      </c>
      <c r="I10246" s="3" t="inlineStr">
        <is>
          <t>답</t>
        </is>
      </c>
      <c r="J10246" s="3" t="inlineStr">
        <is>
          <t>유구읍</t>
        </is>
      </c>
    </row>
    <row r="10247">
      <c r="A10247" s="3" t="n">
        <v>2024</v>
      </c>
      <c r="B10247" s="4" t="n">
        <v>4336</v>
      </c>
      <c r="C10247" s="4" t="n">
        <v>803</v>
      </c>
      <c r="D10247" s="4" t="n">
        <v>242.9075</v>
      </c>
      <c r="E10247" s="5" t="n">
        <v>17.9</v>
      </c>
      <c r="F10247" s="3" t="inlineStr">
        <is>
          <t>유구읍</t>
        </is>
      </c>
      <c r="G10247" s="3" t="inlineStr">
        <is>
          <t>유구리</t>
        </is>
      </c>
      <c r="H10247" s="3" t="inlineStr">
        <is>
          <t>계획관리지역</t>
        </is>
      </c>
      <c r="I10247" s="3" t="inlineStr">
        <is>
          <t>답</t>
        </is>
      </c>
      <c r="J10247" s="3" t="inlineStr">
        <is>
          <t>유구읍</t>
        </is>
      </c>
    </row>
    <row r="10248">
      <c r="A10248" s="3" t="n">
        <v>2024</v>
      </c>
      <c r="B10248" s="4" t="n">
        <v>1300</v>
      </c>
      <c r="C10248" s="4" t="n">
        <v>367</v>
      </c>
      <c r="D10248" s="4" t="n">
        <v>111.0175</v>
      </c>
      <c r="E10248" s="5" t="n">
        <v>11.7</v>
      </c>
      <c r="F10248" s="3" t="inlineStr">
        <is>
          <t>유구읍</t>
        </is>
      </c>
      <c r="G10248" s="3" t="inlineStr">
        <is>
          <t>입석리</t>
        </is>
      </c>
      <c r="H10248" s="3" t="inlineStr">
        <is>
          <t>보전관리지역</t>
        </is>
      </c>
      <c r="I10248" s="3" t="inlineStr">
        <is>
          <t>전</t>
        </is>
      </c>
      <c r="J10248" s="3" t="inlineStr">
        <is>
          <t>유구읍</t>
        </is>
      </c>
    </row>
    <row r="10249">
      <c r="A10249" s="3" t="n">
        <v>2024</v>
      </c>
      <c r="B10249" s="4" t="n">
        <v>2200</v>
      </c>
      <c r="C10249" s="4" t="n">
        <v>260</v>
      </c>
      <c r="D10249" s="4" t="n">
        <v>78.64999999999999</v>
      </c>
      <c r="E10249" s="5" t="n">
        <v>28</v>
      </c>
      <c r="F10249" s="3" t="inlineStr">
        <is>
          <t>유구읍</t>
        </is>
      </c>
      <c r="G10249" s="3" t="inlineStr">
        <is>
          <t>명곡리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유구읍</t>
        </is>
      </c>
    </row>
    <row r="10250">
      <c r="A10250" s="3" t="n">
        <v>2025</v>
      </c>
      <c r="B10250" s="4" t="n">
        <v>8000</v>
      </c>
      <c r="C10250" s="4" t="n">
        <v>2040</v>
      </c>
      <c r="D10250" s="4" t="n">
        <v>617.1</v>
      </c>
      <c r="E10250" s="5" t="n">
        <v>13</v>
      </c>
      <c r="F10250" s="3" t="inlineStr">
        <is>
          <t>유구읍</t>
        </is>
      </c>
      <c r="G10250" s="3" t="inlineStr">
        <is>
          <t>덕곡리</t>
        </is>
      </c>
      <c r="H10250" s="3" t="inlineStr">
        <is>
          <t>일반상업지역</t>
        </is>
      </c>
      <c r="I10250" s="3" t="inlineStr">
        <is>
          <t>답</t>
        </is>
      </c>
      <c r="J10250" s="3" t="inlineStr">
        <is>
          <t>유구읍</t>
        </is>
      </c>
    </row>
    <row r="10251">
      <c r="A10251" s="3" t="n">
        <v>2025</v>
      </c>
      <c r="B10251" s="4" t="n">
        <v>1523</v>
      </c>
      <c r="C10251" s="4" t="n">
        <v>1279</v>
      </c>
      <c r="D10251" s="4" t="n">
        <v>386.8975</v>
      </c>
      <c r="E10251" s="5" t="n">
        <v>3.9</v>
      </c>
      <c r="F10251" s="3" t="inlineStr">
        <is>
          <t>유구읍</t>
        </is>
      </c>
      <c r="G10251" s="3" t="inlineStr">
        <is>
          <t>녹천리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유구읍</t>
        </is>
      </c>
    </row>
    <row r="10252">
      <c r="A10252" s="3" t="n">
        <v>2025</v>
      </c>
      <c r="B10252" s="4" t="n">
        <v>205</v>
      </c>
      <c r="C10252" s="4" t="n">
        <v>172</v>
      </c>
      <c r="D10252" s="4" t="n">
        <v>52.03</v>
      </c>
      <c r="E10252" s="5" t="n">
        <v>3.9</v>
      </c>
      <c r="F10252" s="3" t="inlineStr">
        <is>
          <t>유구읍</t>
        </is>
      </c>
      <c r="G10252" s="3" t="inlineStr">
        <is>
          <t>녹천리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유구읍</t>
        </is>
      </c>
    </row>
    <row r="10253">
      <c r="A10253" s="3" t="n">
        <v>2025</v>
      </c>
      <c r="B10253" s="4" t="n">
        <v>272</v>
      </c>
      <c r="C10253" s="4" t="n">
        <v>228</v>
      </c>
      <c r="D10253" s="4" t="n">
        <v>68.97</v>
      </c>
      <c r="E10253" s="5" t="n">
        <v>3.9</v>
      </c>
      <c r="F10253" s="3" t="inlineStr">
        <is>
          <t>유구읍</t>
        </is>
      </c>
      <c r="G10253" s="3" t="inlineStr">
        <is>
          <t>녹천리</t>
        </is>
      </c>
      <c r="H10253" s="3" t="inlineStr">
        <is>
          <t>계획관리지역</t>
        </is>
      </c>
      <c r="I10253" s="3" t="inlineStr">
        <is>
          <t>전</t>
        </is>
      </c>
      <c r="J10253" s="3" t="inlineStr">
        <is>
          <t>유구읍</t>
        </is>
      </c>
    </row>
    <row r="10254">
      <c r="A10254" s="3" t="n">
        <v>2025</v>
      </c>
      <c r="B10254" s="4" t="n">
        <v>8596</v>
      </c>
      <c r="C10254" s="4" t="n">
        <v>2456</v>
      </c>
      <c r="D10254" s="4" t="n">
        <v>742.9399999999999</v>
      </c>
      <c r="E10254" s="5" t="n">
        <v>11.6</v>
      </c>
      <c r="F10254" s="3" t="inlineStr">
        <is>
          <t>유구읍</t>
        </is>
      </c>
      <c r="G10254" s="3" t="inlineStr">
        <is>
          <t>입석리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유구읍</t>
        </is>
      </c>
    </row>
    <row r="10255">
      <c r="A10255" s="3" t="n">
        <v>2025</v>
      </c>
      <c r="B10255" s="4" t="n">
        <v>6714</v>
      </c>
      <c r="C10255" s="4" t="n">
        <v>1865</v>
      </c>
      <c r="D10255" s="4" t="n">
        <v>564.1625</v>
      </c>
      <c r="E10255" s="5" t="n">
        <v>11.9</v>
      </c>
      <c r="F10255" s="3" t="inlineStr">
        <is>
          <t>유구읍</t>
        </is>
      </c>
      <c r="G10255" s="3" t="inlineStr">
        <is>
          <t>입석리</t>
        </is>
      </c>
      <c r="H10255" s="3" t="inlineStr">
        <is>
          <t>농림지역</t>
        </is>
      </c>
      <c r="I10255" s="3" t="inlineStr">
        <is>
          <t>답</t>
        </is>
      </c>
      <c r="J10255" s="3" t="inlineStr">
        <is>
          <t>유구읍</t>
        </is>
      </c>
    </row>
    <row r="10256">
      <c r="A10256" s="3" t="n">
        <v>2025</v>
      </c>
      <c r="B10256" s="4" t="n">
        <v>9523</v>
      </c>
      <c r="C10256" s="4" t="n">
        <v>2506</v>
      </c>
      <c r="D10256" s="4" t="n">
        <v>758.0649999999999</v>
      </c>
      <c r="E10256" s="5" t="n">
        <v>12.6</v>
      </c>
      <c r="F10256" s="3" t="inlineStr">
        <is>
          <t>유구읍</t>
        </is>
      </c>
      <c r="G10256" s="3" t="inlineStr">
        <is>
          <t>입석리</t>
        </is>
      </c>
      <c r="H10256" s="3" t="inlineStr">
        <is>
          <t>농림지역</t>
        </is>
      </c>
      <c r="I10256" s="3" t="inlineStr">
        <is>
          <t>답</t>
        </is>
      </c>
      <c r="J10256" s="3" t="inlineStr">
        <is>
          <t>유구읍</t>
        </is>
      </c>
    </row>
    <row r="10257">
      <c r="A10257" s="3" t="n">
        <v>2025</v>
      </c>
      <c r="B10257" s="4" t="n">
        <v>17000</v>
      </c>
      <c r="C10257" s="4" t="n">
        <v>1121</v>
      </c>
      <c r="D10257" s="4" t="n">
        <v>339.1025</v>
      </c>
      <c r="E10257" s="5" t="n">
        <v>50.1</v>
      </c>
      <c r="F10257" s="3" t="inlineStr">
        <is>
          <t>연서면</t>
        </is>
      </c>
      <c r="G10257" s="3" t="inlineStr">
        <is>
          <t>신대리</t>
        </is>
      </c>
      <c r="H10257" s="3" t="inlineStr">
        <is>
          <t>계획관리지역</t>
        </is>
      </c>
      <c r="I10257" s="3" t="inlineStr">
        <is>
          <t>과수원</t>
        </is>
      </c>
      <c r="J10257" s="3" t="inlineStr">
        <is>
          <t>연서면</t>
        </is>
      </c>
    </row>
    <row r="10258">
      <c r="A10258" s="3" t="n">
        <v>2025</v>
      </c>
      <c r="B10258" s="4" t="n">
        <v>6600</v>
      </c>
      <c r="C10258" s="4" t="n">
        <v>73</v>
      </c>
      <c r="D10258" s="4" t="n">
        <v>22.0825</v>
      </c>
      <c r="E10258" s="5" t="n">
        <v>298.9</v>
      </c>
      <c r="F10258" s="3" t="inlineStr">
        <is>
          <t>연서면</t>
        </is>
      </c>
      <c r="G10258" s="3" t="inlineStr">
        <is>
          <t>용암리</t>
        </is>
      </c>
      <c r="H10258" s="3" t="inlineStr">
        <is>
          <t>자연환경보전</t>
        </is>
      </c>
      <c r="I10258" s="3" t="inlineStr">
        <is>
          <t>대</t>
        </is>
      </c>
      <c r="J10258" s="3" t="inlineStr">
        <is>
          <t>연서면</t>
        </is>
      </c>
    </row>
    <row r="10259">
      <c r="A10259" s="3" t="n">
        <v>2025</v>
      </c>
      <c r="B10259" s="4" t="n">
        <v>12669</v>
      </c>
      <c r="C10259" s="4" t="n">
        <v>492</v>
      </c>
      <c r="D10259" s="4" t="n">
        <v>148.83</v>
      </c>
      <c r="E10259" s="5" t="n">
        <v>85.09999999999999</v>
      </c>
      <c r="F10259" s="3" t="inlineStr">
        <is>
          <t>금남면</t>
        </is>
      </c>
      <c r="G10259" s="3" t="inlineStr">
        <is>
          <t>성강리</t>
        </is>
      </c>
      <c r="H10259" s="3" t="inlineStr">
        <is>
          <t>보전관리지역</t>
        </is>
      </c>
      <c r="I10259" s="3" t="inlineStr">
        <is>
          <t>전</t>
        </is>
      </c>
      <c r="J10259" s="3" t="inlineStr">
        <is>
          <t>금남면</t>
        </is>
      </c>
    </row>
    <row r="10260">
      <c r="A10260" s="3" t="n">
        <v>2025</v>
      </c>
      <c r="B10260" s="4" t="n">
        <v>3328</v>
      </c>
      <c r="C10260" s="4" t="n">
        <v>44</v>
      </c>
      <c r="D10260" s="4" t="n">
        <v>13.31</v>
      </c>
      <c r="E10260" s="5" t="n">
        <v>250</v>
      </c>
      <c r="F10260" s="3" t="inlineStr">
        <is>
          <t>연기면</t>
        </is>
      </c>
      <c r="G10260" s="3" t="inlineStr">
        <is>
          <t>눌왕리</t>
        </is>
      </c>
      <c r="H10260" s="3" t="inlineStr">
        <is>
          <t>계획관리지역</t>
        </is>
      </c>
      <c r="I10260" s="3" t="inlineStr">
        <is>
          <t>전</t>
        </is>
      </c>
      <c r="J10260" s="3" t="inlineStr">
        <is>
          <t>연기면</t>
        </is>
      </c>
    </row>
    <row r="10261">
      <c r="A10261" s="3" t="n">
        <v>2025</v>
      </c>
      <c r="B10261" s="4" t="n">
        <v>3328</v>
      </c>
      <c r="C10261" s="4" t="n">
        <v>88</v>
      </c>
      <c r="D10261" s="4" t="n">
        <v>26.62</v>
      </c>
      <c r="E10261" s="5" t="n">
        <v>125</v>
      </c>
      <c r="F10261" s="3" t="inlineStr">
        <is>
          <t>연기면</t>
        </is>
      </c>
      <c r="G10261" s="3" t="inlineStr">
        <is>
          <t>눌왕리</t>
        </is>
      </c>
      <c r="H10261" s="3" t="inlineStr">
        <is>
          <t>계획관리지역</t>
        </is>
      </c>
      <c r="I10261" s="3" t="inlineStr">
        <is>
          <t>전</t>
        </is>
      </c>
      <c r="J10261" s="3" t="inlineStr">
        <is>
          <t>연기면</t>
        </is>
      </c>
    </row>
    <row r="10262">
      <c r="A10262" s="3" t="n">
        <v>2025</v>
      </c>
      <c r="B10262" s="4" t="n">
        <v>3050</v>
      </c>
      <c r="C10262" s="4" t="n">
        <v>202</v>
      </c>
      <c r="D10262" s="4" t="n">
        <v>61.105</v>
      </c>
      <c r="E10262" s="5" t="n">
        <v>49.9</v>
      </c>
      <c r="F10262" s="3" t="inlineStr">
        <is>
          <t>금남면</t>
        </is>
      </c>
      <c r="G10262" s="3" t="inlineStr">
        <is>
          <t>발산리</t>
        </is>
      </c>
      <c r="H10262" s="3" t="inlineStr">
        <is>
          <t>농림지역</t>
        </is>
      </c>
      <c r="I10262" s="3" t="inlineStr">
        <is>
          <t>답</t>
        </is>
      </c>
      <c r="J10262" s="3" t="inlineStr">
        <is>
          <t>금남면</t>
        </is>
      </c>
    </row>
    <row r="10263">
      <c r="A10263" s="3" t="n">
        <v>2025</v>
      </c>
      <c r="B10263" s="4" t="n">
        <v>48500</v>
      </c>
      <c r="C10263" s="4" t="n">
        <v>1656</v>
      </c>
      <c r="D10263" s="4" t="n">
        <v>500.94</v>
      </c>
      <c r="E10263" s="5" t="n">
        <v>96.8</v>
      </c>
      <c r="F10263" s="3" t="inlineStr">
        <is>
          <t>연서면</t>
        </is>
      </c>
      <c r="G10263" s="3" t="inlineStr">
        <is>
          <t>부동리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연서면</t>
        </is>
      </c>
    </row>
    <row r="10264">
      <c r="A10264" s="3" t="n">
        <v>2025</v>
      </c>
      <c r="B10264" s="4" t="n">
        <v>8500</v>
      </c>
      <c r="C10264" s="4" t="n">
        <v>303</v>
      </c>
      <c r="D10264" s="4" t="n">
        <v>91.6575</v>
      </c>
      <c r="E10264" s="5" t="n">
        <v>92.7</v>
      </c>
      <c r="F10264" s="3" t="inlineStr">
        <is>
          <t>장군면</t>
        </is>
      </c>
      <c r="G10264" s="3" t="inlineStr">
        <is>
          <t>하봉리</t>
        </is>
      </c>
      <c r="H10264" s="3" t="inlineStr">
        <is>
          <t>계획관리지역</t>
        </is>
      </c>
      <c r="I10264" s="3" t="inlineStr">
        <is>
          <t>임야</t>
        </is>
      </c>
      <c r="J10264" s="3" t="inlineStr">
        <is>
          <t>장군면</t>
        </is>
      </c>
    </row>
    <row r="10265">
      <c r="A10265" s="3" t="n">
        <v>2025</v>
      </c>
      <c r="B10265" s="4" t="n">
        <v>1800</v>
      </c>
      <c r="C10265" s="4" t="n">
        <v>6</v>
      </c>
      <c r="D10265" s="4" t="n">
        <v>1.815</v>
      </c>
      <c r="E10265" s="5" t="n">
        <v>991.7</v>
      </c>
      <c r="F10265" s="3" t="inlineStr">
        <is>
          <t>조치원읍</t>
        </is>
      </c>
      <c r="G10265" s="3" t="inlineStr">
        <is>
          <t>신안리</t>
        </is>
      </c>
      <c r="H10265" s="3" t="inlineStr">
        <is>
          <t>제2종일반주거지역</t>
        </is>
      </c>
      <c r="I10265" s="3" t="inlineStr">
        <is>
          <t>도로</t>
        </is>
      </c>
      <c r="J10265" s="3" t="inlineStr">
        <is>
          <t>조치원읍</t>
        </is>
      </c>
    </row>
    <row r="10266">
      <c r="A10266" s="3" t="n">
        <v>2025</v>
      </c>
      <c r="B10266" s="4" t="n">
        <v>3100</v>
      </c>
      <c r="C10266" s="4" t="n">
        <v>27</v>
      </c>
      <c r="D10266" s="4" t="n">
        <v>8.1675</v>
      </c>
      <c r="E10266" s="5" t="n">
        <v>379.6</v>
      </c>
      <c r="F10266" s="3" t="inlineStr">
        <is>
          <t>조치원읍</t>
        </is>
      </c>
      <c r="G10266" s="3" t="inlineStr">
        <is>
          <t>신안리</t>
        </is>
      </c>
      <c r="H10266" s="3" t="inlineStr">
        <is>
          <t>제2종일반주거지역</t>
        </is>
      </c>
      <c r="I10266" s="3" t="inlineStr">
        <is>
          <t>도로</t>
        </is>
      </c>
      <c r="J10266" s="3" t="inlineStr">
        <is>
          <t>조치원읍</t>
        </is>
      </c>
    </row>
    <row r="10267">
      <c r="A10267" s="3" t="n">
        <v>2025</v>
      </c>
      <c r="B10267" s="4" t="n">
        <v>33100</v>
      </c>
      <c r="C10267" s="4" t="n">
        <v>271</v>
      </c>
      <c r="D10267" s="4" t="n">
        <v>81.97749999999999</v>
      </c>
      <c r="E10267" s="5" t="n">
        <v>403.8</v>
      </c>
      <c r="F10267" s="3" t="inlineStr">
        <is>
          <t>조치원읍</t>
        </is>
      </c>
      <c r="G10267" s="3" t="inlineStr">
        <is>
          <t>신안리</t>
        </is>
      </c>
      <c r="H10267" s="3" t="inlineStr">
        <is>
          <t>제2종일반주거지역</t>
        </is>
      </c>
      <c r="I10267" s="3" t="inlineStr">
        <is>
          <t>대</t>
        </is>
      </c>
      <c r="J10267" s="3" t="inlineStr">
        <is>
          <t>조치원읍</t>
        </is>
      </c>
    </row>
    <row r="10268">
      <c r="A10268" s="3" t="n">
        <v>2025</v>
      </c>
      <c r="B10268" s="4" t="n">
        <v>100</v>
      </c>
      <c r="C10268" s="4" t="n">
        <v>27</v>
      </c>
      <c r="D10268" s="4" t="n">
        <v>8.1675</v>
      </c>
      <c r="E10268" s="5" t="n">
        <v>12.2</v>
      </c>
      <c r="F10268" s="3" t="inlineStr">
        <is>
          <t>금남면</t>
        </is>
      </c>
      <c r="G10268" s="3" t="inlineStr">
        <is>
          <t>성강리</t>
        </is>
      </c>
      <c r="H10268" s="3" t="inlineStr">
        <is>
          <t>생산관리지역</t>
        </is>
      </c>
      <c r="I10268" s="3" t="inlineStr">
        <is>
          <t>답</t>
        </is>
      </c>
      <c r="J10268" s="3" t="inlineStr">
        <is>
          <t>금남면</t>
        </is>
      </c>
    </row>
    <row r="10269">
      <c r="A10269" s="3" t="n">
        <v>2025</v>
      </c>
      <c r="B10269" s="4" t="n">
        <v>100</v>
      </c>
      <c r="C10269" s="4" t="n">
        <v>27</v>
      </c>
      <c r="D10269" s="4" t="n">
        <v>8.1675</v>
      </c>
      <c r="E10269" s="5" t="n">
        <v>12.2</v>
      </c>
      <c r="F10269" s="3" t="inlineStr">
        <is>
          <t>금남면</t>
        </is>
      </c>
      <c r="G10269" s="3" t="inlineStr">
        <is>
          <t>성강리</t>
        </is>
      </c>
      <c r="H10269" s="3" t="inlineStr">
        <is>
          <t>생산관리지역</t>
        </is>
      </c>
      <c r="I10269" s="3" t="inlineStr">
        <is>
          <t>답</t>
        </is>
      </c>
      <c r="J10269" s="3" t="inlineStr">
        <is>
          <t>금남면</t>
        </is>
      </c>
    </row>
    <row r="10270">
      <c r="A10270" s="3" t="n">
        <v>2025</v>
      </c>
      <c r="B10270" s="4" t="n">
        <v>27000</v>
      </c>
      <c r="C10270" s="4" t="n">
        <v>2069</v>
      </c>
      <c r="D10270" s="4" t="n">
        <v>625.8724999999999</v>
      </c>
      <c r="E10270" s="5" t="n">
        <v>43.1</v>
      </c>
      <c r="F10270" s="3" t="inlineStr">
        <is>
          <t>금남면</t>
        </is>
      </c>
      <c r="G10270" s="3" t="inlineStr">
        <is>
          <t>두만리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금남면</t>
        </is>
      </c>
    </row>
    <row r="10271">
      <c r="A10271" s="3" t="n">
        <v>2025</v>
      </c>
      <c r="B10271" s="4" t="n">
        <v>12000</v>
      </c>
      <c r="C10271" s="4" t="n">
        <v>1164</v>
      </c>
      <c r="D10271" s="4" t="n">
        <v>352.11</v>
      </c>
      <c r="E10271" s="5" t="n">
        <v>34.1</v>
      </c>
      <c r="F10271" s="3" t="inlineStr">
        <is>
          <t>금남면</t>
        </is>
      </c>
      <c r="G10271" s="3" t="inlineStr">
        <is>
          <t>두만리</t>
        </is>
      </c>
      <c r="H10271" s="3" t="inlineStr">
        <is>
          <t>농림지역</t>
        </is>
      </c>
      <c r="I10271" s="3" t="inlineStr">
        <is>
          <t>답</t>
        </is>
      </c>
      <c r="J10271" s="3" t="inlineStr">
        <is>
          <t>금남면</t>
        </is>
      </c>
    </row>
    <row r="10272">
      <c r="A10272" s="3" t="n">
        <v>2025</v>
      </c>
      <c r="B10272" s="4" t="n">
        <v>3700</v>
      </c>
      <c r="C10272" s="4" t="n">
        <v>68</v>
      </c>
      <c r="D10272" s="4" t="n">
        <v>20.57</v>
      </c>
      <c r="E10272" s="5" t="n">
        <v>179.9</v>
      </c>
      <c r="F10272" s="3" t="inlineStr">
        <is>
          <t>조치원읍</t>
        </is>
      </c>
      <c r="G10272" s="3" t="inlineStr">
        <is>
          <t>봉산리</t>
        </is>
      </c>
      <c r="H10272" s="3" t="inlineStr">
        <is>
          <t>자연녹지지역</t>
        </is>
      </c>
      <c r="I10272" s="3" t="inlineStr">
        <is>
          <t>답</t>
        </is>
      </c>
      <c r="J10272" s="3" t="inlineStr">
        <is>
          <t>조치원읍</t>
        </is>
      </c>
    </row>
    <row r="10273">
      <c r="A10273" s="3" t="n">
        <v>2025</v>
      </c>
      <c r="B10273" s="4" t="n">
        <v>1200</v>
      </c>
      <c r="C10273" s="4" t="n">
        <v>27</v>
      </c>
      <c r="D10273" s="4" t="n">
        <v>8.1675</v>
      </c>
      <c r="E10273" s="5" t="n">
        <v>146.9</v>
      </c>
      <c r="F10273" s="3" t="inlineStr">
        <is>
          <t>조치원읍</t>
        </is>
      </c>
      <c r="G10273" s="3" t="inlineStr">
        <is>
          <t>봉산리</t>
        </is>
      </c>
      <c r="H10273" s="3" t="inlineStr">
        <is>
          <t>자연녹지지역</t>
        </is>
      </c>
      <c r="I10273" s="3" t="inlineStr">
        <is>
          <t>답</t>
        </is>
      </c>
      <c r="J10273" s="3" t="inlineStr">
        <is>
          <t>조치원읍</t>
        </is>
      </c>
    </row>
    <row r="10274">
      <c r="A10274" s="3" t="n">
        <v>2025</v>
      </c>
      <c r="B10274" s="4" t="n">
        <v>18265</v>
      </c>
      <c r="C10274" s="4" t="n">
        <v>929</v>
      </c>
      <c r="D10274" s="4" t="n">
        <v>281.0225</v>
      </c>
      <c r="E10274" s="5" t="n">
        <v>65</v>
      </c>
      <c r="F10274" s="3" t="inlineStr">
        <is>
          <t>연동면</t>
        </is>
      </c>
      <c r="G10274" s="3" t="inlineStr">
        <is>
          <t>송용리</t>
        </is>
      </c>
      <c r="H10274" s="3" t="inlineStr">
        <is>
          <t>계획관리지역</t>
        </is>
      </c>
      <c r="I10274" s="3" t="inlineStr">
        <is>
          <t>대</t>
        </is>
      </c>
      <c r="J10274" s="3" t="inlineStr">
        <is>
          <t>연동면</t>
        </is>
      </c>
    </row>
    <row r="10275">
      <c r="A10275" s="3" t="n">
        <v>2023</v>
      </c>
      <c r="B10275" s="4" t="n">
        <v>55000</v>
      </c>
      <c r="C10275" s="4" t="n">
        <v>6901</v>
      </c>
      <c r="D10275" s="4" t="n">
        <v>2087.5525</v>
      </c>
      <c r="E10275" s="5" t="n">
        <v>26.3</v>
      </c>
      <c r="F10275" s="3" t="inlineStr">
        <is>
          <t>연서면</t>
        </is>
      </c>
      <c r="G10275" s="3" t="inlineStr">
        <is>
          <t>쌍류리</t>
        </is>
      </c>
      <c r="H10275" s="3" t="inlineStr">
        <is>
          <t>보전관리지역</t>
        </is>
      </c>
      <c r="I10275" s="3" t="inlineStr">
        <is>
          <t>임야</t>
        </is>
      </c>
      <c r="J10275" s="3" t="inlineStr">
        <is>
          <t>연서면</t>
        </is>
      </c>
    </row>
    <row r="10276">
      <c r="A10276" s="3" t="n">
        <v>2023</v>
      </c>
      <c r="B10276" s="4" t="n">
        <v>9511</v>
      </c>
      <c r="C10276" s="4" t="n">
        <v>893</v>
      </c>
      <c r="D10276" s="4" t="n">
        <v>270.1325</v>
      </c>
      <c r="E10276" s="5" t="n">
        <v>35.2</v>
      </c>
      <c r="F10276" s="3" t="inlineStr">
        <is>
          <t>부강면</t>
        </is>
      </c>
      <c r="G10276" s="3" t="inlineStr">
        <is>
          <t>문곡리</t>
        </is>
      </c>
      <c r="H10276" s="3" t="inlineStr">
        <is>
          <t>계획관리지역</t>
        </is>
      </c>
      <c r="I10276" s="3" t="inlineStr">
        <is>
          <t>구거</t>
        </is>
      </c>
      <c r="J10276" s="3" t="inlineStr">
        <is>
          <t>부강면</t>
        </is>
      </c>
    </row>
    <row r="10277">
      <c r="A10277" s="3" t="n">
        <v>2023</v>
      </c>
      <c r="B10277" s="4" t="n">
        <v>2050</v>
      </c>
      <c r="C10277" s="4" t="n">
        <v>55</v>
      </c>
      <c r="D10277" s="4" t="n">
        <v>16.6375</v>
      </c>
      <c r="E10277" s="5" t="n">
        <v>123.2</v>
      </c>
      <c r="F10277" s="3" t="inlineStr">
        <is>
          <t>부강면</t>
        </is>
      </c>
      <c r="G10277" s="3" t="inlineStr">
        <is>
          <t>부강리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부강면</t>
        </is>
      </c>
    </row>
    <row r="10278">
      <c r="A10278" s="3" t="n">
        <v>2023</v>
      </c>
      <c r="B10278" s="4" t="n">
        <v>3000</v>
      </c>
      <c r="C10278" s="4" t="n">
        <v>1042</v>
      </c>
      <c r="D10278" s="4" t="n">
        <v>315.205</v>
      </c>
      <c r="E10278" s="5" t="n">
        <v>9.5</v>
      </c>
      <c r="F10278" s="3" t="inlineStr">
        <is>
          <t>장군면</t>
        </is>
      </c>
      <c r="G10278" s="3" t="inlineStr">
        <is>
          <t>산학리</t>
        </is>
      </c>
      <c r="H10278" s="3" t="inlineStr">
        <is>
          <t>계획관리지역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2023</v>
      </c>
      <c r="B10279" s="4" t="n">
        <v>31190</v>
      </c>
      <c r="C10279" s="4" t="n">
        <v>2851</v>
      </c>
      <c r="D10279" s="4" t="n">
        <v>862.4275</v>
      </c>
      <c r="E10279" s="5" t="n">
        <v>36.2</v>
      </c>
      <c r="F10279" s="3" t="inlineStr">
        <is>
          <t>금남면</t>
        </is>
      </c>
      <c r="G10279" s="3" t="inlineStr">
        <is>
          <t>영대리</t>
        </is>
      </c>
      <c r="H10279" s="3" t="inlineStr">
        <is>
          <t>개발제한구역</t>
        </is>
      </c>
      <c r="I10279" s="3" t="inlineStr">
        <is>
          <t>답</t>
        </is>
      </c>
      <c r="J10279" s="3" t="inlineStr">
        <is>
          <t>금남면</t>
        </is>
      </c>
    </row>
    <row r="10280">
      <c r="A10280" s="3" t="n">
        <v>2023</v>
      </c>
      <c r="B10280" s="4" t="n">
        <v>1750</v>
      </c>
      <c r="C10280" s="4" t="n">
        <v>171</v>
      </c>
      <c r="D10280" s="4" t="n">
        <v>51.7275</v>
      </c>
      <c r="E10280" s="5" t="n">
        <v>33.8</v>
      </c>
      <c r="F10280" s="3" t="inlineStr">
        <is>
          <t>금남면</t>
        </is>
      </c>
      <c r="G10280" s="3" t="inlineStr">
        <is>
          <t>영대리</t>
        </is>
      </c>
      <c r="H10280" s="3" t="inlineStr">
        <is>
          <t>개발제한구역</t>
        </is>
      </c>
      <c r="I10280" s="3" t="inlineStr">
        <is>
          <t>답</t>
        </is>
      </c>
      <c r="J10280" s="3" t="inlineStr">
        <is>
          <t>금남면</t>
        </is>
      </c>
    </row>
    <row r="10281">
      <c r="A10281" s="3" t="n">
        <v>2023</v>
      </c>
      <c r="B10281" s="4" t="n">
        <v>6000</v>
      </c>
      <c r="C10281" s="4" t="n">
        <v>873</v>
      </c>
      <c r="D10281" s="4" t="n">
        <v>264.0825</v>
      </c>
      <c r="E10281" s="5" t="n">
        <v>22.7</v>
      </c>
      <c r="F10281" s="3" t="inlineStr">
        <is>
          <t>장군면</t>
        </is>
      </c>
      <c r="G10281" s="3" t="inlineStr">
        <is>
          <t>용암리</t>
        </is>
      </c>
      <c r="H10281" s="3" t="inlineStr">
        <is>
          <t>생산관리지역</t>
        </is>
      </c>
      <c r="I10281" s="3" t="inlineStr">
        <is>
          <t>전</t>
        </is>
      </c>
      <c r="J10281" s="3" t="inlineStr">
        <is>
          <t>장군면</t>
        </is>
      </c>
    </row>
    <row r="10282">
      <c r="A10282" s="3" t="n">
        <v>2023</v>
      </c>
      <c r="B10282" s="4" t="n">
        <v>41824</v>
      </c>
      <c r="C10282" s="4" t="n">
        <v>289</v>
      </c>
      <c r="D10282" s="4" t="n">
        <v>87.4225</v>
      </c>
      <c r="E10282" s="5" t="n">
        <v>478.4</v>
      </c>
      <c r="F10282" s="3" t="inlineStr">
        <is>
          <t>연동면</t>
        </is>
      </c>
      <c r="G10282" s="3" t="inlineStr">
        <is>
          <t>명학리</t>
        </is>
      </c>
      <c r="H10282" s="3" t="inlineStr">
        <is>
          <t>계획관리지역</t>
        </is>
      </c>
      <c r="I10282" s="3" t="inlineStr">
        <is>
          <t>잡종지</t>
        </is>
      </c>
      <c r="J10282" s="3" t="inlineStr">
        <is>
          <t>연동면</t>
        </is>
      </c>
    </row>
    <row r="10283">
      <c r="A10283" s="3" t="n">
        <v>2023</v>
      </c>
      <c r="B10283" s="4" t="n">
        <v>45876</v>
      </c>
      <c r="C10283" s="4" t="n">
        <v>317</v>
      </c>
      <c r="D10283" s="4" t="n">
        <v>95.8925</v>
      </c>
      <c r="E10283" s="5" t="n">
        <v>478.4</v>
      </c>
      <c r="F10283" s="3" t="inlineStr">
        <is>
          <t>연동면</t>
        </is>
      </c>
      <c r="G10283" s="3" t="inlineStr">
        <is>
          <t>명학리</t>
        </is>
      </c>
      <c r="H10283" s="3" t="inlineStr">
        <is>
          <t>계획관리지역</t>
        </is>
      </c>
      <c r="I10283" s="3" t="inlineStr">
        <is>
          <t>잡종지</t>
        </is>
      </c>
      <c r="J10283" s="3" t="inlineStr">
        <is>
          <t>연동면</t>
        </is>
      </c>
    </row>
    <row r="10284">
      <c r="A10284" s="3" t="n">
        <v>2022</v>
      </c>
      <c r="B10284" s="4" t="n">
        <v>2500</v>
      </c>
      <c r="C10284" s="4" t="n">
        <v>1035</v>
      </c>
      <c r="D10284" s="4" t="n">
        <v>313.0875</v>
      </c>
      <c r="E10284" s="5" t="n">
        <v>8</v>
      </c>
      <c r="F10284" s="3" t="inlineStr">
        <is>
          <t>유구읍</t>
        </is>
      </c>
      <c r="G10284" s="3" t="inlineStr">
        <is>
          <t>노동리</t>
        </is>
      </c>
      <c r="H10284" s="3" t="inlineStr">
        <is>
          <t>계획관리지역</t>
        </is>
      </c>
      <c r="I10284" s="3" t="inlineStr">
        <is>
          <t>전</t>
        </is>
      </c>
      <c r="J10284" s="3" t="inlineStr">
        <is>
          <t>유구읍</t>
        </is>
      </c>
    </row>
    <row r="10285">
      <c r="A10285" s="3" t="n">
        <v>2022</v>
      </c>
      <c r="B10285" s="4" t="n">
        <v>1000</v>
      </c>
      <c r="C10285" s="4" t="n">
        <v>463</v>
      </c>
      <c r="D10285" s="4" t="n">
        <v>140.0575</v>
      </c>
      <c r="E10285" s="5" t="n">
        <v>7.1</v>
      </c>
      <c r="F10285" s="3" t="inlineStr">
        <is>
          <t>유구읍</t>
        </is>
      </c>
      <c r="G10285" s="3" t="inlineStr">
        <is>
          <t>노동리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유구읍</t>
        </is>
      </c>
    </row>
    <row r="10286">
      <c r="A10286" s="3" t="n">
        <v>2022</v>
      </c>
      <c r="B10286" s="4" t="n">
        <v>4000</v>
      </c>
      <c r="C10286" s="4" t="n">
        <v>13532</v>
      </c>
      <c r="D10286" s="4" t="n">
        <v>4093.43</v>
      </c>
      <c r="E10286" s="5" t="n">
        <v>1</v>
      </c>
      <c r="F10286" s="3" t="inlineStr">
        <is>
          <t>유구읍</t>
        </is>
      </c>
      <c r="G10286" s="3" t="inlineStr">
        <is>
          <t>석남리</t>
        </is>
      </c>
      <c r="H10286" s="3" t="inlineStr">
        <is>
          <t>농림지역</t>
        </is>
      </c>
      <c r="I10286" s="3" t="inlineStr">
        <is>
          <t>임야</t>
        </is>
      </c>
      <c r="J10286" s="3" t="inlineStr">
        <is>
          <t>유구읍</t>
        </is>
      </c>
    </row>
    <row r="10287">
      <c r="A10287" s="3" t="n">
        <v>2022</v>
      </c>
      <c r="B10287" s="4" t="n">
        <v>1000</v>
      </c>
      <c r="C10287" s="4" t="n">
        <v>288</v>
      </c>
      <c r="D10287" s="4" t="n">
        <v>87.12</v>
      </c>
      <c r="E10287" s="5" t="n">
        <v>11.5</v>
      </c>
      <c r="F10287" s="3" t="inlineStr">
        <is>
          <t>유구읍</t>
        </is>
      </c>
      <c r="G10287" s="3" t="inlineStr">
        <is>
          <t>유구리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유구읍</t>
        </is>
      </c>
    </row>
    <row r="10288">
      <c r="A10288" s="3" t="n">
        <v>2022</v>
      </c>
      <c r="B10288" s="4" t="n">
        <v>16800</v>
      </c>
      <c r="C10288" s="4" t="n">
        <v>1410</v>
      </c>
      <c r="D10288" s="4" t="n">
        <v>426.525</v>
      </c>
      <c r="E10288" s="5" t="n">
        <v>39.4</v>
      </c>
      <c r="F10288" s="3" t="inlineStr">
        <is>
          <t>유구읍</t>
        </is>
      </c>
      <c r="G10288" s="3" t="inlineStr">
        <is>
          <t>백교리</t>
        </is>
      </c>
      <c r="H10288" s="3" t="inlineStr">
        <is>
          <t>제2종일반주거지역</t>
        </is>
      </c>
      <c r="I10288" s="3" t="inlineStr">
        <is>
          <t>답</t>
        </is>
      </c>
      <c r="J10288" s="3" t="inlineStr">
        <is>
          <t>유구읍</t>
        </is>
      </c>
    </row>
    <row r="10289">
      <c r="A10289" s="3" t="n">
        <v>2022</v>
      </c>
      <c r="B10289" s="4" t="n">
        <v>12000</v>
      </c>
      <c r="C10289" s="4" t="n">
        <v>571</v>
      </c>
      <c r="D10289" s="4" t="n">
        <v>172.7275</v>
      </c>
      <c r="E10289" s="5" t="n">
        <v>69.5</v>
      </c>
      <c r="F10289" s="3" t="inlineStr">
        <is>
          <t>유구읍</t>
        </is>
      </c>
      <c r="G10289" s="3" t="inlineStr">
        <is>
          <t>녹천리</t>
        </is>
      </c>
      <c r="H10289" s="3" t="inlineStr">
        <is>
          <t>계획관리지역</t>
        </is>
      </c>
      <c r="I10289" s="3" t="inlineStr">
        <is>
          <t>답</t>
        </is>
      </c>
      <c r="J10289" s="3" t="inlineStr">
        <is>
          <t>유구읍</t>
        </is>
      </c>
    </row>
    <row r="10290">
      <c r="A10290" s="3" t="n">
        <v>2022</v>
      </c>
      <c r="B10290" s="4" t="n">
        <v>2000</v>
      </c>
      <c r="C10290" s="4" t="n">
        <v>575</v>
      </c>
      <c r="D10290" s="4" t="n">
        <v>173.9375</v>
      </c>
      <c r="E10290" s="5" t="n">
        <v>11.5</v>
      </c>
      <c r="F10290" s="3" t="inlineStr">
        <is>
          <t>유구읍</t>
        </is>
      </c>
      <c r="G10290" s="3" t="inlineStr">
        <is>
          <t>추계리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유구읍</t>
        </is>
      </c>
    </row>
    <row r="10291">
      <c r="A10291" s="3" t="n">
        <v>2022</v>
      </c>
      <c r="B10291" s="4" t="n">
        <v>9584</v>
      </c>
      <c r="C10291" s="4" t="n">
        <v>2995</v>
      </c>
      <c r="D10291" s="4" t="n">
        <v>905.9875</v>
      </c>
      <c r="E10291" s="5" t="n">
        <v>10.6</v>
      </c>
      <c r="F10291" s="3" t="inlineStr">
        <is>
          <t>유구읍</t>
        </is>
      </c>
      <c r="G10291" s="3" t="inlineStr">
        <is>
          <t>명곡리</t>
        </is>
      </c>
      <c r="H10291" s="3" t="inlineStr">
        <is>
          <t>농림지역</t>
        </is>
      </c>
      <c r="I10291" s="3" t="inlineStr">
        <is>
          <t>답</t>
        </is>
      </c>
      <c r="J10291" s="3" t="inlineStr">
        <is>
          <t>유구읍</t>
        </is>
      </c>
    </row>
    <row r="10292">
      <c r="A10292" s="3" t="n">
        <v>2022</v>
      </c>
      <c r="B10292" s="4" t="n">
        <v>2275</v>
      </c>
      <c r="C10292" s="4" t="n">
        <v>576</v>
      </c>
      <c r="D10292" s="4" t="n">
        <v>174.24</v>
      </c>
      <c r="E10292" s="5" t="n">
        <v>13.1</v>
      </c>
      <c r="F10292" s="3" t="inlineStr">
        <is>
          <t>유구읍</t>
        </is>
      </c>
      <c r="G10292" s="3" t="inlineStr">
        <is>
          <t>추계리</t>
        </is>
      </c>
      <c r="H10292" s="3" t="inlineStr">
        <is>
          <t>계획관리지역</t>
        </is>
      </c>
      <c r="I10292" s="3" t="inlineStr">
        <is>
          <t>전</t>
        </is>
      </c>
      <c r="J10292" s="3" t="inlineStr">
        <is>
          <t>유구읍</t>
        </is>
      </c>
    </row>
    <row r="10293">
      <c r="A10293" s="3" t="n">
        <v>2022</v>
      </c>
      <c r="B10293" s="4" t="n">
        <v>2275</v>
      </c>
      <c r="C10293" s="4" t="n">
        <v>576</v>
      </c>
      <c r="D10293" s="4" t="n">
        <v>174.24</v>
      </c>
      <c r="E10293" s="5" t="n">
        <v>13.1</v>
      </c>
      <c r="F10293" s="3" t="inlineStr">
        <is>
          <t>유구읍</t>
        </is>
      </c>
      <c r="G10293" s="3" t="inlineStr">
        <is>
          <t>추계리</t>
        </is>
      </c>
      <c r="H10293" s="3" t="inlineStr">
        <is>
          <t>계획관리지역</t>
        </is>
      </c>
      <c r="I10293" s="3" t="inlineStr">
        <is>
          <t>전</t>
        </is>
      </c>
      <c r="J10293" s="3" t="inlineStr">
        <is>
          <t>유구읍</t>
        </is>
      </c>
    </row>
    <row r="10294">
      <c r="A10294" s="3" t="n">
        <v>2022</v>
      </c>
      <c r="B10294" s="4" t="n">
        <v>3000</v>
      </c>
      <c r="C10294" s="4" t="n">
        <v>741</v>
      </c>
      <c r="D10294" s="4" t="n">
        <v>224.1525</v>
      </c>
      <c r="E10294" s="5" t="n">
        <v>13.4</v>
      </c>
      <c r="F10294" s="3" t="inlineStr">
        <is>
          <t>유구읍</t>
        </is>
      </c>
      <c r="G10294" s="3" t="inlineStr">
        <is>
          <t>명곡리</t>
        </is>
      </c>
      <c r="H10294" s="3" t="inlineStr">
        <is>
          <t>계획관리지역</t>
        </is>
      </c>
      <c r="I10294" s="3" t="inlineStr">
        <is>
          <t>전</t>
        </is>
      </c>
      <c r="J10294" s="3" t="inlineStr">
        <is>
          <t>유구읍</t>
        </is>
      </c>
    </row>
    <row r="10295">
      <c r="A10295" s="3" t="n">
        <v>2022</v>
      </c>
      <c r="B10295" s="4" t="n">
        <v>350</v>
      </c>
      <c r="C10295" s="4" t="n">
        <v>113</v>
      </c>
      <c r="D10295" s="4" t="n">
        <v>34.1825</v>
      </c>
      <c r="E10295" s="5" t="n">
        <v>10.2</v>
      </c>
      <c r="F10295" s="3" t="inlineStr">
        <is>
          <t>유구읍</t>
        </is>
      </c>
      <c r="G10295" s="3" t="inlineStr">
        <is>
          <t>명곡리</t>
        </is>
      </c>
      <c r="H10295" s="3" t="inlineStr">
        <is>
          <t>계획관리지역</t>
        </is>
      </c>
      <c r="I10295" s="3" t="inlineStr">
        <is>
          <t>전</t>
        </is>
      </c>
      <c r="J10295" s="3" t="inlineStr">
        <is>
          <t>유구읍</t>
        </is>
      </c>
    </row>
    <row r="10296">
      <c r="A10296" s="3" t="n">
        <v>2024</v>
      </c>
      <c r="B10296" s="4" t="n">
        <v>1378</v>
      </c>
      <c r="C10296" s="4" t="n">
        <v>23</v>
      </c>
      <c r="D10296" s="4" t="n">
        <v>6.9575</v>
      </c>
      <c r="E10296" s="5" t="n">
        <v>198.1</v>
      </c>
      <c r="F10296" s="3" t="inlineStr">
        <is>
          <t>조치원읍</t>
        </is>
      </c>
      <c r="G10296" s="3" t="inlineStr">
        <is>
          <t>신안리</t>
        </is>
      </c>
      <c r="H10296" s="3" t="inlineStr">
        <is>
          <t>자연녹지지역</t>
        </is>
      </c>
      <c r="I10296" s="3" t="inlineStr">
        <is>
          <t>양어장</t>
        </is>
      </c>
      <c r="J10296" s="3" t="inlineStr">
        <is>
          <t>조치원읍</t>
        </is>
      </c>
    </row>
    <row r="10297">
      <c r="A10297" s="3" t="n">
        <v>2025</v>
      </c>
      <c r="B10297" s="4" t="n">
        <v>3050</v>
      </c>
      <c r="C10297" s="4" t="n">
        <v>202</v>
      </c>
      <c r="D10297" s="4" t="n">
        <v>61.105</v>
      </c>
      <c r="E10297" s="5" t="n">
        <v>49.9</v>
      </c>
      <c r="F10297" s="3" t="inlineStr">
        <is>
          <t>금남면</t>
        </is>
      </c>
      <c r="G10297" s="3" t="inlineStr">
        <is>
          <t>발산리</t>
        </is>
      </c>
      <c r="H10297" s="3" t="inlineStr">
        <is>
          <t>농림지역</t>
        </is>
      </c>
      <c r="I10297" s="3" t="inlineStr">
        <is>
          <t>답</t>
        </is>
      </c>
      <c r="J10297" s="3" t="inlineStr">
        <is>
          <t>금남면</t>
        </is>
      </c>
    </row>
    <row r="10298">
      <c r="A10298" s="3" t="n">
        <v>2025</v>
      </c>
      <c r="B10298" s="4" t="n">
        <v>16400</v>
      </c>
      <c r="C10298" s="4" t="n">
        <v>403</v>
      </c>
      <c r="D10298" s="4" t="n">
        <v>121.9075</v>
      </c>
      <c r="E10298" s="5" t="n">
        <v>134.5</v>
      </c>
      <c r="F10298" s="3" t="inlineStr">
        <is>
          <t>부강면</t>
        </is>
      </c>
      <c r="G10298" s="3" t="inlineStr">
        <is>
          <t>금호리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부강면</t>
        </is>
      </c>
    </row>
    <row r="10299">
      <c r="A10299" s="3" t="n">
        <v>2022</v>
      </c>
      <c r="B10299" s="4" t="n">
        <v>3000</v>
      </c>
      <c r="C10299" s="4" t="n">
        <v>340</v>
      </c>
      <c r="D10299" s="4" t="n">
        <v>102.85</v>
      </c>
      <c r="E10299" s="5" t="n">
        <v>29.2</v>
      </c>
      <c r="F10299" s="3" t="inlineStr">
        <is>
          <t>유구읍</t>
        </is>
      </c>
      <c r="G10299" s="3" t="inlineStr">
        <is>
          <t>명곡리</t>
        </is>
      </c>
      <c r="H10299" s="3" t="inlineStr">
        <is>
          <t>계획관리지역</t>
        </is>
      </c>
      <c r="I10299" s="3" t="inlineStr">
        <is>
          <t>대</t>
        </is>
      </c>
      <c r="J10299" s="3" t="inlineStr">
        <is>
          <t>유구읍</t>
        </is>
      </c>
    </row>
    <row r="10300">
      <c r="A10300" s="3" t="n">
        <v>2022</v>
      </c>
      <c r="B10300" s="4" t="n">
        <v>2287</v>
      </c>
      <c r="C10300" s="4" t="n">
        <v>565</v>
      </c>
      <c r="D10300" s="4" t="n">
        <v>170.9125</v>
      </c>
      <c r="E10300" s="5" t="n">
        <v>13.4</v>
      </c>
      <c r="F10300" s="3" t="inlineStr">
        <is>
          <t>유구읍</t>
        </is>
      </c>
      <c r="G10300" s="3" t="inlineStr">
        <is>
          <t>세동리</t>
        </is>
      </c>
      <c r="H10300" s="3" t="inlineStr">
        <is>
          <t>계획관리지역</t>
        </is>
      </c>
      <c r="I10300" s="3" t="inlineStr">
        <is>
          <t>전</t>
        </is>
      </c>
      <c r="J10300" s="3" t="inlineStr">
        <is>
          <t>유구읍</t>
        </is>
      </c>
    </row>
    <row r="10301">
      <c r="A10301" s="3" t="n">
        <v>2022</v>
      </c>
      <c r="B10301" s="4" t="n">
        <v>2513</v>
      </c>
      <c r="C10301" s="4" t="n">
        <v>448</v>
      </c>
      <c r="D10301" s="4" t="n">
        <v>135.52</v>
      </c>
      <c r="E10301" s="5" t="n">
        <v>18.5</v>
      </c>
      <c r="F10301" s="3" t="inlineStr">
        <is>
          <t>유구읍</t>
        </is>
      </c>
      <c r="G10301" s="3" t="inlineStr">
        <is>
          <t>세동리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유구읍</t>
        </is>
      </c>
    </row>
    <row r="10302">
      <c r="A10302" s="3" t="n">
        <v>2022</v>
      </c>
      <c r="B10302" s="4" t="n">
        <v>2012</v>
      </c>
      <c r="C10302" s="4" t="n">
        <v>565</v>
      </c>
      <c r="D10302" s="4" t="n">
        <v>170.9125</v>
      </c>
      <c r="E10302" s="5" t="n">
        <v>11.8</v>
      </c>
      <c r="F10302" s="3" t="inlineStr">
        <is>
          <t>유구읍</t>
        </is>
      </c>
      <c r="G10302" s="3" t="inlineStr">
        <is>
          <t>세동리</t>
        </is>
      </c>
      <c r="H10302" s="3" t="inlineStr">
        <is>
          <t>계획관리지역</t>
        </is>
      </c>
      <c r="I10302" s="3" t="inlineStr">
        <is>
          <t>전</t>
        </is>
      </c>
      <c r="J10302" s="3" t="inlineStr">
        <is>
          <t>유구읍</t>
        </is>
      </c>
    </row>
    <row r="10303">
      <c r="A10303" s="3" t="n">
        <v>2022</v>
      </c>
      <c r="B10303" s="4" t="n">
        <v>2788</v>
      </c>
      <c r="C10303" s="4" t="n">
        <v>448</v>
      </c>
      <c r="D10303" s="4" t="n">
        <v>135.52</v>
      </c>
      <c r="E10303" s="5" t="n">
        <v>20.6</v>
      </c>
      <c r="F10303" s="3" t="inlineStr">
        <is>
          <t>유구읍</t>
        </is>
      </c>
      <c r="G10303" s="3" t="inlineStr">
        <is>
          <t>세동리</t>
        </is>
      </c>
      <c r="H10303" s="3" t="inlineStr">
        <is>
          <t>계획관리지역</t>
        </is>
      </c>
      <c r="I10303" s="3" t="inlineStr">
        <is>
          <t>전</t>
        </is>
      </c>
      <c r="J10303" s="3" t="inlineStr">
        <is>
          <t>유구읍</t>
        </is>
      </c>
    </row>
    <row r="10304">
      <c r="A10304" s="3" t="n">
        <v>2022</v>
      </c>
      <c r="B10304" s="4" t="n">
        <v>5600</v>
      </c>
      <c r="C10304" s="4" t="n">
        <v>426</v>
      </c>
      <c r="D10304" s="4" t="n">
        <v>128.865</v>
      </c>
      <c r="E10304" s="5" t="n">
        <v>43.5</v>
      </c>
      <c r="F10304" s="3" t="inlineStr">
        <is>
          <t>유구읍</t>
        </is>
      </c>
      <c r="G10304" s="3" t="inlineStr">
        <is>
          <t>유구리</t>
        </is>
      </c>
      <c r="H10304" s="3" t="inlineStr">
        <is>
          <t>자연녹지지역</t>
        </is>
      </c>
      <c r="I10304" s="3" t="inlineStr">
        <is>
          <t>전</t>
        </is>
      </c>
      <c r="J10304" s="3" t="inlineStr">
        <is>
          <t>유구읍</t>
        </is>
      </c>
    </row>
    <row r="10305">
      <c r="A10305" s="3" t="n">
        <v>2022</v>
      </c>
      <c r="B10305" s="4" t="n">
        <v>4400</v>
      </c>
      <c r="C10305" s="4" t="n">
        <v>330</v>
      </c>
      <c r="D10305" s="4" t="n">
        <v>99.825</v>
      </c>
      <c r="E10305" s="5" t="n">
        <v>44.1</v>
      </c>
      <c r="F10305" s="3" t="inlineStr">
        <is>
          <t>유구읍</t>
        </is>
      </c>
      <c r="G10305" s="3" t="inlineStr">
        <is>
          <t>유구리</t>
        </is>
      </c>
      <c r="H10305" s="3" t="inlineStr">
        <is>
          <t>계획관리지역</t>
        </is>
      </c>
      <c r="I10305" s="3" t="inlineStr">
        <is>
          <t>전</t>
        </is>
      </c>
      <c r="J10305" s="3" t="inlineStr">
        <is>
          <t>유구읍</t>
        </is>
      </c>
    </row>
    <row r="10306">
      <c r="A10306" s="3" t="n">
        <v>2022</v>
      </c>
      <c r="B10306" s="4" t="n">
        <v>4980</v>
      </c>
      <c r="C10306" s="4" t="n">
        <v>543</v>
      </c>
      <c r="D10306" s="4" t="n">
        <v>164.2575</v>
      </c>
      <c r="E10306" s="5" t="n">
        <v>30.3</v>
      </c>
      <c r="F10306" s="3" t="inlineStr">
        <is>
          <t>유구읍</t>
        </is>
      </c>
      <c r="G10306" s="3" t="inlineStr">
        <is>
          <t>백교리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유구읍</t>
        </is>
      </c>
    </row>
    <row r="10307">
      <c r="A10307" s="3" t="n">
        <v>2022</v>
      </c>
      <c r="B10307" s="4" t="n">
        <v>7500</v>
      </c>
      <c r="C10307" s="4" t="n">
        <v>660</v>
      </c>
      <c r="D10307" s="4" t="n">
        <v>199.65</v>
      </c>
      <c r="E10307" s="5" t="n">
        <v>37.6</v>
      </c>
      <c r="F10307" s="3" t="inlineStr">
        <is>
          <t>유구읍</t>
        </is>
      </c>
      <c r="G10307" s="3" t="inlineStr">
        <is>
          <t>백교리</t>
        </is>
      </c>
      <c r="H10307" s="3" t="inlineStr">
        <is>
          <t>계획관리지역</t>
        </is>
      </c>
      <c r="I10307" s="3" t="inlineStr">
        <is>
          <t>전</t>
        </is>
      </c>
      <c r="J10307" s="3" t="inlineStr">
        <is>
          <t>유구읍</t>
        </is>
      </c>
    </row>
    <row r="10308">
      <c r="A10308" s="3" t="n">
        <v>2022</v>
      </c>
      <c r="B10308" s="4" t="n">
        <v>2700</v>
      </c>
      <c r="C10308" s="4" t="n">
        <v>595</v>
      </c>
      <c r="D10308" s="4" t="n">
        <v>179.9875</v>
      </c>
      <c r="E10308" s="5" t="n">
        <v>15</v>
      </c>
      <c r="F10308" s="3" t="inlineStr">
        <is>
          <t>유구읍</t>
        </is>
      </c>
      <c r="G10308" s="3" t="inlineStr">
        <is>
          <t>노동리</t>
        </is>
      </c>
      <c r="H10308" s="3" t="inlineStr">
        <is>
          <t>계획관리지역</t>
        </is>
      </c>
      <c r="I10308" s="3" t="inlineStr">
        <is>
          <t>답</t>
        </is>
      </c>
      <c r="J10308" s="3" t="inlineStr">
        <is>
          <t>유구읍</t>
        </is>
      </c>
    </row>
    <row r="10309">
      <c r="A10309" s="3" t="n">
        <v>2022</v>
      </c>
      <c r="B10309" s="4" t="n">
        <v>7740</v>
      </c>
      <c r="C10309" s="4" t="n">
        <v>1706</v>
      </c>
      <c r="D10309" s="4" t="n">
        <v>516.0649999999999</v>
      </c>
      <c r="E10309" s="5" t="n">
        <v>15</v>
      </c>
      <c r="F10309" s="3" t="inlineStr">
        <is>
          <t>유구읍</t>
        </is>
      </c>
      <c r="G10309" s="3" t="inlineStr">
        <is>
          <t>노동리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유구읍</t>
        </is>
      </c>
    </row>
    <row r="10310">
      <c r="A10310" s="3" t="n">
        <v>2022</v>
      </c>
      <c r="B10310" s="4" t="n">
        <v>5500</v>
      </c>
      <c r="C10310" s="4" t="n">
        <v>1719</v>
      </c>
      <c r="D10310" s="4" t="n">
        <v>519.9974999999999</v>
      </c>
      <c r="E10310" s="5" t="n">
        <v>10.6</v>
      </c>
      <c r="F10310" s="3" t="inlineStr">
        <is>
          <t>유구읍</t>
        </is>
      </c>
      <c r="G10310" s="3" t="inlineStr">
        <is>
          <t>백교리</t>
        </is>
      </c>
      <c r="H10310" s="3" t="inlineStr">
        <is>
          <t>계획관리지역</t>
        </is>
      </c>
      <c r="I10310" s="3" t="inlineStr">
        <is>
          <t>답</t>
        </is>
      </c>
      <c r="J10310" s="3" t="inlineStr">
        <is>
          <t>유구읍</t>
        </is>
      </c>
    </row>
    <row r="10311">
      <c r="A10311" s="3" t="n">
        <v>2022</v>
      </c>
      <c r="B10311" s="4" t="n">
        <v>3000</v>
      </c>
      <c r="C10311" s="4" t="n">
        <v>887</v>
      </c>
      <c r="D10311" s="4" t="n">
        <v>268.3175</v>
      </c>
      <c r="E10311" s="5" t="n">
        <v>11.2</v>
      </c>
      <c r="F10311" s="3" t="inlineStr">
        <is>
          <t>유구읍</t>
        </is>
      </c>
      <c r="G10311" s="3" t="inlineStr">
        <is>
          <t>백교리</t>
        </is>
      </c>
      <c r="H10311" s="3" t="inlineStr">
        <is>
          <t>계획관리지역</t>
        </is>
      </c>
      <c r="I10311" s="3" t="inlineStr">
        <is>
          <t>답</t>
        </is>
      </c>
      <c r="J10311" s="3" t="inlineStr">
        <is>
          <t>유구읍</t>
        </is>
      </c>
    </row>
    <row r="10312">
      <c r="A10312" s="3" t="n">
        <v>2022</v>
      </c>
      <c r="B10312" s="4" t="n">
        <v>3500</v>
      </c>
      <c r="C10312" s="4" t="n">
        <v>803</v>
      </c>
      <c r="D10312" s="4" t="n">
        <v>242.9075</v>
      </c>
      <c r="E10312" s="5" t="n">
        <v>14.4</v>
      </c>
      <c r="F10312" s="3" t="inlineStr">
        <is>
          <t>유구읍</t>
        </is>
      </c>
      <c r="G10312" s="3" t="inlineStr">
        <is>
          <t>백교리</t>
        </is>
      </c>
      <c r="H10312" s="3" t="inlineStr">
        <is>
          <t>계획관리지역</t>
        </is>
      </c>
      <c r="I10312" s="3" t="inlineStr">
        <is>
          <t>답</t>
        </is>
      </c>
      <c r="J10312" s="3" t="inlineStr">
        <is>
          <t>유구읍</t>
        </is>
      </c>
    </row>
    <row r="10313">
      <c r="A10313" s="3" t="n">
        <v>2022</v>
      </c>
      <c r="B10313" s="4" t="n">
        <v>2000</v>
      </c>
      <c r="C10313" s="4" t="n">
        <v>607</v>
      </c>
      <c r="D10313" s="4" t="n">
        <v>183.6175</v>
      </c>
      <c r="E10313" s="5" t="n">
        <v>10.9</v>
      </c>
      <c r="F10313" s="3" t="inlineStr">
        <is>
          <t>유구읍</t>
        </is>
      </c>
      <c r="G10313" s="3" t="inlineStr">
        <is>
          <t>백교리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유구읍</t>
        </is>
      </c>
    </row>
    <row r="10314">
      <c r="A10314" s="3" t="n">
        <v>2022</v>
      </c>
      <c r="B10314" s="4" t="n">
        <v>3500</v>
      </c>
      <c r="C10314" s="4" t="n">
        <v>754</v>
      </c>
      <c r="D10314" s="4" t="n">
        <v>228.085</v>
      </c>
      <c r="E10314" s="5" t="n">
        <v>15.3</v>
      </c>
      <c r="F10314" s="3" t="inlineStr">
        <is>
          <t>유구읍</t>
        </is>
      </c>
      <c r="G10314" s="3" t="inlineStr">
        <is>
          <t>명곡리</t>
        </is>
      </c>
      <c r="H10314" s="3" t="inlineStr">
        <is>
          <t>계획관리지역</t>
        </is>
      </c>
      <c r="I10314" s="3" t="inlineStr">
        <is>
          <t>전</t>
        </is>
      </c>
      <c r="J10314" s="3" t="inlineStr">
        <is>
          <t>유구읍</t>
        </is>
      </c>
    </row>
    <row r="10315">
      <c r="A10315" s="3" t="n">
        <v>2022</v>
      </c>
      <c r="B10315" s="4" t="n">
        <v>33000</v>
      </c>
      <c r="C10315" s="4" t="n">
        <v>3689</v>
      </c>
      <c r="D10315" s="4" t="n">
        <v>1115.9225</v>
      </c>
      <c r="E10315" s="5" t="n">
        <v>29.6</v>
      </c>
      <c r="F10315" s="3" t="inlineStr">
        <is>
          <t>유구읍</t>
        </is>
      </c>
      <c r="G10315" s="3" t="inlineStr">
        <is>
          <t>노동리</t>
        </is>
      </c>
      <c r="H10315" s="3" t="inlineStr">
        <is>
          <t>계획관리지역</t>
        </is>
      </c>
      <c r="I10315" s="3" t="inlineStr">
        <is>
          <t>답</t>
        </is>
      </c>
      <c r="J10315" s="3" t="inlineStr">
        <is>
          <t>유구읍</t>
        </is>
      </c>
    </row>
    <row r="10316">
      <c r="A10316" s="3" t="n">
        <v>2022</v>
      </c>
      <c r="B10316" s="4" t="n">
        <v>1752</v>
      </c>
      <c r="C10316" s="4" t="n">
        <v>539</v>
      </c>
      <c r="D10316" s="4" t="n">
        <v>163.0475</v>
      </c>
      <c r="E10316" s="5" t="n">
        <v>10.7</v>
      </c>
      <c r="F10316" s="3" t="inlineStr">
        <is>
          <t>유구읍</t>
        </is>
      </c>
      <c r="G10316" s="3" t="inlineStr">
        <is>
          <t>입석리</t>
        </is>
      </c>
      <c r="H10316" s="3" t="inlineStr">
        <is>
          <t>보전관리지역</t>
        </is>
      </c>
      <c r="I10316" s="3" t="inlineStr">
        <is>
          <t>전</t>
        </is>
      </c>
      <c r="J10316" s="3" t="inlineStr">
        <is>
          <t>유구읍</t>
        </is>
      </c>
    </row>
    <row r="10317">
      <c r="A10317" s="3" t="n">
        <v>2022</v>
      </c>
      <c r="B10317" s="4" t="n">
        <v>1121</v>
      </c>
      <c r="C10317" s="4" t="n">
        <v>345</v>
      </c>
      <c r="D10317" s="4" t="n">
        <v>104.3625</v>
      </c>
      <c r="E10317" s="5" t="n">
        <v>10.7</v>
      </c>
      <c r="F10317" s="3" t="inlineStr">
        <is>
          <t>유구읍</t>
        </is>
      </c>
      <c r="G10317" s="3" t="inlineStr">
        <is>
          <t>입석리</t>
        </is>
      </c>
      <c r="H10317" s="3" t="inlineStr">
        <is>
          <t>보전관리지역</t>
        </is>
      </c>
      <c r="I10317" s="3" t="inlineStr">
        <is>
          <t>전</t>
        </is>
      </c>
      <c r="J10317" s="3" t="inlineStr">
        <is>
          <t>유구읍</t>
        </is>
      </c>
    </row>
    <row r="10318">
      <c r="A10318" s="3" t="n">
        <v>2022</v>
      </c>
      <c r="B10318" s="4" t="n">
        <v>3250</v>
      </c>
      <c r="C10318" s="4" t="n">
        <v>1000</v>
      </c>
      <c r="D10318" s="4" t="n">
        <v>302.5</v>
      </c>
      <c r="E10318" s="5" t="n">
        <v>10.7</v>
      </c>
      <c r="F10318" s="3" t="inlineStr">
        <is>
          <t>유구읍</t>
        </is>
      </c>
      <c r="G10318" s="3" t="inlineStr">
        <is>
          <t>입석리</t>
        </is>
      </c>
      <c r="H10318" s="3" t="inlineStr">
        <is>
          <t>보전관리지역</t>
        </is>
      </c>
      <c r="I10318" s="3" t="inlineStr">
        <is>
          <t>전</t>
        </is>
      </c>
      <c r="J10318" s="3" t="inlineStr">
        <is>
          <t>유구읍</t>
        </is>
      </c>
    </row>
    <row r="10319">
      <c r="A10319" s="3" t="n">
        <v>2022</v>
      </c>
      <c r="B10319" s="4" t="n">
        <v>3877</v>
      </c>
      <c r="C10319" s="4" t="n">
        <v>1193</v>
      </c>
      <c r="D10319" s="4" t="n">
        <v>360.8825</v>
      </c>
      <c r="E10319" s="5" t="n">
        <v>10.7</v>
      </c>
      <c r="F10319" s="3" t="inlineStr">
        <is>
          <t>유구읍</t>
        </is>
      </c>
      <c r="G10319" s="3" t="inlineStr">
        <is>
          <t>입석리</t>
        </is>
      </c>
      <c r="H10319" s="3" t="inlineStr">
        <is>
          <t>보전관리지역</t>
        </is>
      </c>
      <c r="I10319" s="3" t="inlineStr">
        <is>
          <t>전</t>
        </is>
      </c>
      <c r="J10319" s="3" t="inlineStr">
        <is>
          <t>유구읍</t>
        </is>
      </c>
    </row>
    <row r="10320">
      <c r="A10320" s="3" t="n">
        <v>2022</v>
      </c>
      <c r="B10320" s="4" t="n">
        <v>7500</v>
      </c>
      <c r="C10320" s="4" t="n">
        <v>1141</v>
      </c>
      <c r="D10320" s="4" t="n">
        <v>345.1525</v>
      </c>
      <c r="E10320" s="5" t="n">
        <v>21.7</v>
      </c>
      <c r="F10320" s="3" t="inlineStr">
        <is>
          <t>유구읍</t>
        </is>
      </c>
      <c r="G10320" s="3" t="inlineStr">
        <is>
          <t>신영리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유구읍</t>
        </is>
      </c>
    </row>
    <row r="10321">
      <c r="A10321" s="3" t="n">
        <v>2026</v>
      </c>
      <c r="B10321" s="4" t="n">
        <v>259200</v>
      </c>
      <c r="C10321" s="4" t="n">
        <v>2160</v>
      </c>
      <c r="D10321" s="4" t="n">
        <v>653.4</v>
      </c>
      <c r="E10321" s="5" t="n">
        <v>396.7</v>
      </c>
      <c r="F10321" s="3" t="inlineStr">
        <is>
          <t>장군면</t>
        </is>
      </c>
      <c r="G10321" s="3" t="inlineStr">
        <is>
          <t>금암리</t>
        </is>
      </c>
      <c r="H10321" s="3" t="inlineStr">
        <is>
          <t>자연녹지지역</t>
        </is>
      </c>
      <c r="I10321" s="3" t="inlineStr">
        <is>
          <t>대</t>
        </is>
      </c>
      <c r="J10321" s="3" t="inlineStr">
        <is>
          <t>장군면</t>
        </is>
      </c>
    </row>
    <row r="10322">
      <c r="A10322" s="3" t="n">
        <v>2026</v>
      </c>
      <c r="B10322" s="4" t="n">
        <v>291025</v>
      </c>
      <c r="C10322" s="4" t="n">
        <v>2187</v>
      </c>
      <c r="D10322" s="4" t="n">
        <v>661.5675</v>
      </c>
      <c r="E10322" s="5" t="n">
        <v>439.9</v>
      </c>
      <c r="F10322" s="3" t="inlineStr">
        <is>
          <t>장군면</t>
        </is>
      </c>
      <c r="G10322" s="3" t="inlineStr">
        <is>
          <t>금암리</t>
        </is>
      </c>
      <c r="H10322" s="3" t="inlineStr">
        <is>
          <t>자연녹지지역</t>
        </is>
      </c>
      <c r="I10322" s="3" t="inlineStr">
        <is>
          <t>대</t>
        </is>
      </c>
      <c r="J10322" s="3" t="inlineStr">
        <is>
          <t>장군면</t>
        </is>
      </c>
    </row>
    <row r="10323">
      <c r="A10323" s="3" t="n">
        <v>2026</v>
      </c>
      <c r="B10323" s="4" t="n">
        <v>48000</v>
      </c>
      <c r="C10323" s="4" t="n">
        <v>342.4</v>
      </c>
      <c r="D10323" s="4" t="n">
        <v>103.576</v>
      </c>
      <c r="E10323" s="5" t="n">
        <v>463.4</v>
      </c>
      <c r="F10323" s="3" t="inlineStr">
        <is>
          <t>아름동</t>
        </is>
      </c>
      <c r="G10323" s="3" t="inlineStr"/>
      <c r="H10323" s="3" t="inlineStr">
        <is>
          <t>제1종전용주거지역</t>
        </is>
      </c>
      <c r="I10323" s="3" t="inlineStr">
        <is>
          <t>대</t>
        </is>
      </c>
      <c r="J10323" s="3" t="inlineStr">
        <is>
          <t>아름동</t>
        </is>
      </c>
    </row>
    <row r="10324">
      <c r="A10324" s="3" t="n">
        <v>2026</v>
      </c>
      <c r="B10324" s="4" t="n">
        <v>27800</v>
      </c>
      <c r="C10324" s="4" t="n">
        <v>2630</v>
      </c>
      <c r="D10324" s="4" t="n">
        <v>795.5749999999999</v>
      </c>
      <c r="E10324" s="5" t="n">
        <v>34.9</v>
      </c>
      <c r="F10324" s="3" t="inlineStr">
        <is>
          <t>전동면</t>
        </is>
      </c>
      <c r="G10324" s="3" t="inlineStr">
        <is>
          <t>청송리</t>
        </is>
      </c>
      <c r="H10324" s="3" t="inlineStr">
        <is>
          <t>계획관리지역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2026</v>
      </c>
      <c r="B10325" s="4" t="n">
        <v>2700</v>
      </c>
      <c r="C10325" s="4" t="n">
        <v>407</v>
      </c>
      <c r="D10325" s="4" t="n">
        <v>123.1175</v>
      </c>
      <c r="E10325" s="5" t="n">
        <v>21.9</v>
      </c>
      <c r="F10325" s="3" t="inlineStr">
        <is>
          <t>전동면</t>
        </is>
      </c>
      <c r="G10325" s="3" t="inlineStr">
        <is>
          <t>청송리</t>
        </is>
      </c>
      <c r="H10325" s="3" t="inlineStr">
        <is>
          <t>계획관리지역</t>
        </is>
      </c>
      <c r="I10325" s="3" t="inlineStr">
        <is>
          <t>답</t>
        </is>
      </c>
      <c r="J10325" s="3" t="inlineStr">
        <is>
          <t>전동면</t>
        </is>
      </c>
    </row>
    <row r="10326">
      <c r="A10326" s="3" t="n">
        <v>2026</v>
      </c>
      <c r="B10326" s="4" t="n">
        <v>6800</v>
      </c>
      <c r="C10326" s="4" t="n">
        <v>1032</v>
      </c>
      <c r="D10326" s="4" t="n">
        <v>312.18</v>
      </c>
      <c r="E10326" s="5" t="n">
        <v>21.8</v>
      </c>
      <c r="F10326" s="3" t="inlineStr">
        <is>
          <t>전동면</t>
        </is>
      </c>
      <c r="G10326" s="3" t="inlineStr">
        <is>
          <t>청송리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전동면</t>
        </is>
      </c>
    </row>
    <row r="10327">
      <c r="A10327" s="3" t="n">
        <v>2026</v>
      </c>
      <c r="B10327" s="4" t="n">
        <v>3500</v>
      </c>
      <c r="C10327" s="4" t="n">
        <v>525</v>
      </c>
      <c r="D10327" s="4" t="n">
        <v>158.8125</v>
      </c>
      <c r="E10327" s="5" t="n">
        <v>22</v>
      </c>
      <c r="F10327" s="3" t="inlineStr">
        <is>
          <t>전동면</t>
        </is>
      </c>
      <c r="G10327" s="3" t="inlineStr">
        <is>
          <t>청송리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전동면</t>
        </is>
      </c>
    </row>
    <row r="10328">
      <c r="A10328" s="3" t="n">
        <v>2026</v>
      </c>
      <c r="B10328" s="4" t="n">
        <v>970</v>
      </c>
      <c r="C10328" s="4" t="n">
        <v>135</v>
      </c>
      <c r="D10328" s="4" t="n">
        <v>40.8375</v>
      </c>
      <c r="E10328" s="5" t="n">
        <v>23.8</v>
      </c>
      <c r="F10328" s="3" t="inlineStr">
        <is>
          <t>전동면</t>
        </is>
      </c>
      <c r="G10328" s="3" t="inlineStr">
        <is>
          <t>청송리</t>
        </is>
      </c>
      <c r="H10328" s="3" t="inlineStr">
        <is>
          <t>계획관리지역</t>
        </is>
      </c>
      <c r="I10328" s="3" t="inlineStr">
        <is>
          <t>답</t>
        </is>
      </c>
      <c r="J10328" s="3" t="inlineStr">
        <is>
          <t>전동면</t>
        </is>
      </c>
    </row>
    <row r="10329">
      <c r="A10329" s="3" t="n">
        <v>2026</v>
      </c>
      <c r="B10329" s="4" t="n">
        <v>41000</v>
      </c>
      <c r="C10329" s="4" t="n">
        <v>6873</v>
      </c>
      <c r="D10329" s="4" t="n">
        <v>2079.0825</v>
      </c>
      <c r="E10329" s="5" t="n">
        <v>19.7</v>
      </c>
      <c r="F10329" s="3" t="inlineStr">
        <is>
          <t>금남면</t>
        </is>
      </c>
      <c r="G10329" s="3" t="inlineStr">
        <is>
          <t>영대리</t>
        </is>
      </c>
      <c r="H10329" s="3" t="inlineStr">
        <is>
          <t>개발제한구역</t>
        </is>
      </c>
      <c r="I10329" s="3" t="inlineStr">
        <is>
          <t>임야</t>
        </is>
      </c>
      <c r="J10329" s="3" t="inlineStr">
        <is>
          <t>금남면</t>
        </is>
      </c>
    </row>
    <row r="10330">
      <c r="A10330" s="3" t="n">
        <v>2026</v>
      </c>
      <c r="B10330" s="4" t="n">
        <v>24000</v>
      </c>
      <c r="C10330" s="4" t="n">
        <v>15400</v>
      </c>
      <c r="D10330" s="4" t="n">
        <v>4658.5</v>
      </c>
      <c r="E10330" s="5" t="n">
        <v>5.2</v>
      </c>
      <c r="F10330" s="3" t="inlineStr">
        <is>
          <t>전의면</t>
        </is>
      </c>
      <c r="G10330" s="3" t="inlineStr">
        <is>
          <t>다방리</t>
        </is>
      </c>
      <c r="H10330" s="3" t="inlineStr">
        <is>
          <t>보전관리지역</t>
        </is>
      </c>
      <c r="I10330" s="3" t="inlineStr">
        <is>
          <t>임야</t>
        </is>
      </c>
      <c r="J10330" s="3" t="inlineStr">
        <is>
          <t>전의면</t>
        </is>
      </c>
    </row>
    <row r="10331">
      <c r="A10331" s="3" t="n">
        <v>2026</v>
      </c>
      <c r="B10331" s="4" t="n">
        <v>9000</v>
      </c>
      <c r="C10331" s="4" t="n">
        <v>972</v>
      </c>
      <c r="D10331" s="4" t="n">
        <v>294.03</v>
      </c>
      <c r="E10331" s="5" t="n">
        <v>30.6</v>
      </c>
      <c r="F10331" s="3" t="inlineStr">
        <is>
          <t>금남면</t>
        </is>
      </c>
      <c r="G10331" s="3" t="inlineStr">
        <is>
          <t>성강리</t>
        </is>
      </c>
      <c r="H10331" s="3" t="inlineStr">
        <is>
          <t>생산관리지역</t>
        </is>
      </c>
      <c r="I10331" s="3" t="inlineStr">
        <is>
          <t>전</t>
        </is>
      </c>
      <c r="J10331" s="3" t="inlineStr">
        <is>
          <t>금남면</t>
        </is>
      </c>
    </row>
    <row r="10332">
      <c r="A10332" s="3" t="n">
        <v>2026</v>
      </c>
      <c r="B10332" s="4" t="n">
        <v>265800</v>
      </c>
      <c r="C10332" s="4" t="n">
        <v>12138</v>
      </c>
      <c r="D10332" s="4" t="n">
        <v>3671.745</v>
      </c>
      <c r="E10332" s="5" t="n">
        <v>72.40000000000001</v>
      </c>
      <c r="F10332" s="3" t="inlineStr">
        <is>
          <t>연서면</t>
        </is>
      </c>
      <c r="G10332" s="3" t="inlineStr">
        <is>
          <t>국촌리</t>
        </is>
      </c>
      <c r="H10332" s="3" t="inlineStr">
        <is>
          <t>계획관리지역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2026</v>
      </c>
      <c r="B10333" s="4" t="n">
        <v>25000</v>
      </c>
      <c r="C10333" s="4" t="n">
        <v>213</v>
      </c>
      <c r="D10333" s="4" t="n">
        <v>64.4325</v>
      </c>
      <c r="E10333" s="5" t="n">
        <v>388</v>
      </c>
      <c r="F10333" s="3" t="inlineStr">
        <is>
          <t>연서면</t>
        </is>
      </c>
      <c r="G10333" s="3" t="inlineStr">
        <is>
          <t>국촌리</t>
        </is>
      </c>
      <c r="H10333" s="3" t="inlineStr">
        <is>
          <t>계획관리지역</t>
        </is>
      </c>
      <c r="I10333" s="3" t="inlineStr">
        <is>
          <t>임야</t>
        </is>
      </c>
      <c r="J10333" s="3" t="inlineStr">
        <is>
          <t>연서면</t>
        </is>
      </c>
    </row>
    <row r="10334">
      <c r="A10334" s="3" t="n">
        <v>2026</v>
      </c>
      <c r="B10334" s="4" t="n">
        <v>15000</v>
      </c>
      <c r="C10334" s="4" t="n">
        <v>100</v>
      </c>
      <c r="D10334" s="4" t="n">
        <v>30.25</v>
      </c>
      <c r="E10334" s="5" t="n">
        <v>495.9</v>
      </c>
      <c r="F10334" s="3" t="inlineStr">
        <is>
          <t>부강면</t>
        </is>
      </c>
      <c r="G10334" s="3" t="inlineStr">
        <is>
          <t>부강리</t>
        </is>
      </c>
      <c r="H10334" s="3" t="inlineStr">
        <is>
          <t>제2종일반주거지역</t>
        </is>
      </c>
      <c r="I10334" s="3" t="inlineStr">
        <is>
          <t>답</t>
        </is>
      </c>
      <c r="J10334" s="3" t="inlineStr">
        <is>
          <t>부강면</t>
        </is>
      </c>
    </row>
    <row r="10335">
      <c r="A10335" s="3" t="n">
        <v>2025</v>
      </c>
      <c r="B10335" s="4" t="n">
        <v>30000</v>
      </c>
      <c r="C10335" s="4" t="n">
        <v>1321</v>
      </c>
      <c r="D10335" s="4" t="n">
        <v>399.6025</v>
      </c>
      <c r="E10335" s="5" t="n">
        <v>75.09999999999999</v>
      </c>
      <c r="F10335" s="3" t="inlineStr">
        <is>
          <t>부강면</t>
        </is>
      </c>
      <c r="G10335" s="3" t="inlineStr">
        <is>
          <t>금호리</t>
        </is>
      </c>
      <c r="H10335" s="3" t="inlineStr">
        <is>
          <t>생산관리지역</t>
        </is>
      </c>
      <c r="I10335" s="3" t="inlineStr">
        <is>
          <t>전</t>
        </is>
      </c>
      <c r="J10335" s="3" t="inlineStr">
        <is>
          <t>부강면</t>
        </is>
      </c>
    </row>
    <row r="10336">
      <c r="A10336" s="3" t="n">
        <v>2025</v>
      </c>
      <c r="B10336" s="4" t="n">
        <v>29150</v>
      </c>
      <c r="C10336" s="4" t="n">
        <v>289.9</v>
      </c>
      <c r="D10336" s="4" t="n">
        <v>87.69474999999998</v>
      </c>
      <c r="E10336" s="5" t="n">
        <v>332.4</v>
      </c>
      <c r="F10336" s="3" t="inlineStr">
        <is>
          <t>집현동</t>
        </is>
      </c>
      <c r="G10336" s="3" t="inlineStr"/>
      <c r="H10336" s="3" t="inlineStr">
        <is>
          <t>제1종전용주거지역</t>
        </is>
      </c>
      <c r="I10336" s="3" t="inlineStr">
        <is>
          <t>대</t>
        </is>
      </c>
      <c r="J10336" s="3" t="inlineStr">
        <is>
          <t>집현동</t>
        </is>
      </c>
    </row>
    <row r="10337">
      <c r="A10337" s="3" t="n">
        <v>2025</v>
      </c>
      <c r="B10337" s="4" t="n">
        <v>21000</v>
      </c>
      <c r="C10337" s="4" t="n">
        <v>3967</v>
      </c>
      <c r="D10337" s="4" t="n">
        <v>1200.0175</v>
      </c>
      <c r="E10337" s="5" t="n">
        <v>17.5</v>
      </c>
      <c r="F10337" s="3" t="inlineStr">
        <is>
          <t>부강면</t>
        </is>
      </c>
      <c r="G10337" s="3" t="inlineStr">
        <is>
          <t>산수리</t>
        </is>
      </c>
      <c r="H10337" s="3" t="inlineStr">
        <is>
          <t>농림지역</t>
        </is>
      </c>
      <c r="I10337" s="3" t="inlineStr">
        <is>
          <t>답</t>
        </is>
      </c>
      <c r="J10337" s="3" t="inlineStr">
        <is>
          <t>부강면</t>
        </is>
      </c>
    </row>
    <row r="10338">
      <c r="A10338" s="3" t="n">
        <v>2025</v>
      </c>
      <c r="B10338" s="4" t="n">
        <v>14800</v>
      </c>
      <c r="C10338" s="4" t="n">
        <v>1969.7</v>
      </c>
      <c r="D10338" s="4" t="n">
        <v>595.83425</v>
      </c>
      <c r="E10338" s="5" t="n">
        <v>24.8</v>
      </c>
      <c r="F10338" s="3" t="inlineStr">
        <is>
          <t>부강면</t>
        </is>
      </c>
      <c r="G10338" s="3" t="inlineStr">
        <is>
          <t>산수리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부강면</t>
        </is>
      </c>
    </row>
    <row r="10339">
      <c r="A10339" s="3" t="n">
        <v>2025</v>
      </c>
      <c r="B10339" s="4" t="n">
        <v>16900</v>
      </c>
      <c r="C10339" s="4" t="n">
        <v>860</v>
      </c>
      <c r="D10339" s="4" t="n">
        <v>260.15</v>
      </c>
      <c r="E10339" s="5" t="n">
        <v>65</v>
      </c>
      <c r="F10339" s="3" t="inlineStr">
        <is>
          <t>연기면</t>
        </is>
      </c>
      <c r="G10339" s="3" t="inlineStr">
        <is>
          <t>눌왕리</t>
        </is>
      </c>
      <c r="H10339" s="3" t="inlineStr">
        <is>
          <t>보전관리지역</t>
        </is>
      </c>
      <c r="I10339" s="3" t="inlineStr">
        <is>
          <t>임야</t>
        </is>
      </c>
      <c r="J10339" s="3" t="inlineStr">
        <is>
          <t>연기면</t>
        </is>
      </c>
    </row>
    <row r="10340">
      <c r="A10340" s="3" t="n">
        <v>2025</v>
      </c>
      <c r="B10340" s="4" t="n">
        <v>16900</v>
      </c>
      <c r="C10340" s="4" t="n">
        <v>860</v>
      </c>
      <c r="D10340" s="4" t="n">
        <v>260.15</v>
      </c>
      <c r="E10340" s="5" t="n">
        <v>65</v>
      </c>
      <c r="F10340" s="3" t="inlineStr">
        <is>
          <t>연기면</t>
        </is>
      </c>
      <c r="G10340" s="3" t="inlineStr">
        <is>
          <t>눌왕리</t>
        </is>
      </c>
      <c r="H10340" s="3" t="inlineStr">
        <is>
          <t>보전관리지역</t>
        </is>
      </c>
      <c r="I10340" s="3" t="inlineStr">
        <is>
          <t>임야</t>
        </is>
      </c>
      <c r="J10340" s="3" t="inlineStr">
        <is>
          <t>연기면</t>
        </is>
      </c>
    </row>
    <row r="10341">
      <c r="A10341" s="3" t="n">
        <v>2025</v>
      </c>
      <c r="B10341" s="4" t="n">
        <v>27276</v>
      </c>
      <c r="C10341" s="4" t="n">
        <v>13209</v>
      </c>
      <c r="D10341" s="4" t="n">
        <v>3995.7225</v>
      </c>
      <c r="E10341" s="5" t="n">
        <v>6.8</v>
      </c>
      <c r="F10341" s="3" t="inlineStr">
        <is>
          <t>전의면</t>
        </is>
      </c>
      <c r="G10341" s="3" t="inlineStr">
        <is>
          <t>다방리</t>
        </is>
      </c>
      <c r="H10341" s="3" t="inlineStr">
        <is>
          <t>계획관리지역</t>
        </is>
      </c>
      <c r="I10341" s="3" t="inlineStr">
        <is>
          <t>임야</t>
        </is>
      </c>
      <c r="J10341" s="3" t="inlineStr">
        <is>
          <t>전의면</t>
        </is>
      </c>
    </row>
    <row r="10342">
      <c r="A10342" s="3" t="n">
        <v>2025</v>
      </c>
      <c r="B10342" s="4" t="n">
        <v>27276</v>
      </c>
      <c r="C10342" s="4" t="n">
        <v>13263</v>
      </c>
      <c r="D10342" s="4" t="n">
        <v>4012.0575</v>
      </c>
      <c r="E10342" s="5" t="n">
        <v>6.8</v>
      </c>
      <c r="F10342" s="3" t="inlineStr">
        <is>
          <t>전의면</t>
        </is>
      </c>
      <c r="G10342" s="3" t="inlineStr">
        <is>
          <t>다방리</t>
        </is>
      </c>
      <c r="H10342" s="3" t="inlineStr">
        <is>
          <t>계획관리지역</t>
        </is>
      </c>
      <c r="I10342" s="3" t="inlineStr">
        <is>
          <t>임야</t>
        </is>
      </c>
      <c r="J10342" s="3" t="inlineStr">
        <is>
          <t>전의면</t>
        </is>
      </c>
    </row>
    <row r="10343">
      <c r="A10343" s="3" t="n">
        <v>2025</v>
      </c>
      <c r="B10343" s="4" t="n">
        <v>1665</v>
      </c>
      <c r="C10343" s="4" t="n">
        <v>1101</v>
      </c>
      <c r="D10343" s="4" t="n">
        <v>333.0525</v>
      </c>
      <c r="E10343" s="5" t="n">
        <v>5</v>
      </c>
      <c r="F10343" s="3" t="inlineStr">
        <is>
          <t>전의면</t>
        </is>
      </c>
      <c r="G10343" s="3" t="inlineStr">
        <is>
          <t>다방리</t>
        </is>
      </c>
      <c r="H10343" s="3" t="inlineStr">
        <is>
          <t>생산관리지역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2025</v>
      </c>
      <c r="B10344" s="4" t="n">
        <v>2730</v>
      </c>
      <c r="C10344" s="4" t="n">
        <v>129</v>
      </c>
      <c r="D10344" s="4" t="n">
        <v>39.0225</v>
      </c>
      <c r="E10344" s="5" t="n">
        <v>70</v>
      </c>
      <c r="F10344" s="3" t="inlineStr">
        <is>
          <t>전동면</t>
        </is>
      </c>
      <c r="G10344" s="3" t="inlineStr">
        <is>
          <t>석곡리</t>
        </is>
      </c>
      <c r="H10344" s="3" t="inlineStr">
        <is>
          <t>계획관리지역</t>
        </is>
      </c>
      <c r="I10344" s="3" t="inlineStr">
        <is>
          <t>답</t>
        </is>
      </c>
      <c r="J10344" s="3" t="inlineStr">
        <is>
          <t>전동면</t>
        </is>
      </c>
    </row>
    <row r="10345">
      <c r="A10345" s="3" t="n">
        <v>2025</v>
      </c>
      <c r="B10345" s="4" t="n">
        <v>43110</v>
      </c>
      <c r="C10345" s="4" t="n">
        <v>294</v>
      </c>
      <c r="D10345" s="4" t="n">
        <v>88.935</v>
      </c>
      <c r="E10345" s="5" t="n">
        <v>484.7</v>
      </c>
      <c r="F10345" s="3" t="inlineStr">
        <is>
          <t>고운동</t>
        </is>
      </c>
      <c r="G10345" s="3" t="inlineStr"/>
      <c r="H10345" s="3" t="inlineStr">
        <is>
          <t>제1종전용주거지역</t>
        </is>
      </c>
      <c r="I10345" s="3" t="inlineStr">
        <is>
          <t>대</t>
        </is>
      </c>
      <c r="J10345" s="3" t="inlineStr">
        <is>
          <t>고운동</t>
        </is>
      </c>
    </row>
    <row r="10346">
      <c r="A10346" s="3" t="n">
        <v>2025</v>
      </c>
      <c r="B10346" s="4" t="n">
        <v>1890</v>
      </c>
      <c r="C10346" s="4" t="n">
        <v>12.9</v>
      </c>
      <c r="D10346" s="4" t="n">
        <v>3.90225</v>
      </c>
      <c r="E10346" s="5" t="n">
        <v>484.3</v>
      </c>
      <c r="F10346" s="3" t="inlineStr">
        <is>
          <t>고운동</t>
        </is>
      </c>
      <c r="G10346" s="3" t="inlineStr"/>
      <c r="H10346" s="3" t="inlineStr">
        <is>
          <t>제1종전용주거지역</t>
        </is>
      </c>
      <c r="I10346" s="3" t="inlineStr">
        <is>
          <t>주차장</t>
        </is>
      </c>
      <c r="J10346" s="3" t="inlineStr">
        <is>
          <t>고운동</t>
        </is>
      </c>
    </row>
    <row r="10347">
      <c r="A10347" s="3" t="n">
        <v>2025</v>
      </c>
      <c r="B10347" s="4" t="n">
        <v>35000</v>
      </c>
      <c r="C10347" s="4" t="n">
        <v>297.3</v>
      </c>
      <c r="D10347" s="4" t="n">
        <v>89.93325</v>
      </c>
      <c r="E10347" s="5" t="n">
        <v>389.2</v>
      </c>
      <c r="F10347" s="3" t="inlineStr">
        <is>
          <t>다정동</t>
        </is>
      </c>
      <c r="G10347" s="3" t="inlineStr"/>
      <c r="H10347" s="3" t="inlineStr">
        <is>
          <t>제1종전용주거지역</t>
        </is>
      </c>
      <c r="I10347" s="3" t="inlineStr">
        <is>
          <t>대</t>
        </is>
      </c>
      <c r="J10347" s="3" t="inlineStr">
        <is>
          <t>다정동</t>
        </is>
      </c>
    </row>
    <row r="10348">
      <c r="A10348" s="3" t="n">
        <v>2025</v>
      </c>
      <c r="B10348" s="4" t="n">
        <v>12000</v>
      </c>
      <c r="C10348" s="4" t="n">
        <v>3193</v>
      </c>
      <c r="D10348" s="4" t="n">
        <v>965.8824999999999</v>
      </c>
      <c r="E10348" s="5" t="n">
        <v>12.4</v>
      </c>
      <c r="F10348" s="3" t="inlineStr">
        <is>
          <t>전동면</t>
        </is>
      </c>
      <c r="G10348" s="3" t="inlineStr">
        <is>
          <t>송정리</t>
        </is>
      </c>
      <c r="H10348" s="3" t="inlineStr">
        <is>
          <t>농림지역</t>
        </is>
      </c>
      <c r="I10348" s="3" t="inlineStr">
        <is>
          <t>답</t>
        </is>
      </c>
      <c r="J10348" s="3" t="inlineStr">
        <is>
          <t>전동면</t>
        </is>
      </c>
    </row>
    <row r="10349">
      <c r="A10349" s="3" t="n">
        <v>2025</v>
      </c>
      <c r="B10349" s="4" t="n">
        <v>17960</v>
      </c>
      <c r="C10349" s="4" t="n">
        <v>2740</v>
      </c>
      <c r="D10349" s="4" t="n">
        <v>828.85</v>
      </c>
      <c r="E10349" s="5" t="n">
        <v>21.7</v>
      </c>
      <c r="F10349" s="3" t="inlineStr">
        <is>
          <t>전동면</t>
        </is>
      </c>
      <c r="G10349" s="3" t="inlineStr">
        <is>
          <t>송정리</t>
        </is>
      </c>
      <c r="H10349" s="3" t="inlineStr">
        <is>
          <t>농림지역</t>
        </is>
      </c>
      <c r="I10349" s="3" t="inlineStr">
        <is>
          <t>답</t>
        </is>
      </c>
      <c r="J10349" s="3" t="inlineStr">
        <is>
          <t>전동면</t>
        </is>
      </c>
    </row>
    <row r="10350">
      <c r="A10350" s="3" t="n">
        <v>2025</v>
      </c>
      <c r="B10350" s="4" t="n">
        <v>228</v>
      </c>
      <c r="C10350" s="4" t="n">
        <v>21</v>
      </c>
      <c r="D10350" s="4" t="n">
        <v>6.3525</v>
      </c>
      <c r="E10350" s="5" t="n">
        <v>35.9</v>
      </c>
      <c r="F10350" s="3" t="inlineStr">
        <is>
          <t>조치원읍</t>
        </is>
      </c>
      <c r="G10350" s="3" t="inlineStr">
        <is>
          <t>봉산리</t>
        </is>
      </c>
      <c r="H10350" s="3" t="inlineStr">
        <is>
          <t>자연녹지지역</t>
        </is>
      </c>
      <c r="I10350" s="3" t="inlineStr">
        <is>
          <t>대</t>
        </is>
      </c>
      <c r="J10350" s="3" t="inlineStr">
        <is>
          <t>조치원읍</t>
        </is>
      </c>
    </row>
    <row r="10351">
      <c r="A10351" s="3" t="n">
        <v>2025</v>
      </c>
      <c r="B10351" s="4" t="n">
        <v>45000</v>
      </c>
      <c r="C10351" s="4" t="n">
        <v>43636</v>
      </c>
      <c r="D10351" s="4" t="n">
        <v>13199.89</v>
      </c>
      <c r="E10351" s="5" t="n">
        <v>3.4</v>
      </c>
      <c r="F10351" s="3" t="inlineStr">
        <is>
          <t>금남면</t>
        </is>
      </c>
      <c r="G10351" s="3" t="inlineStr">
        <is>
          <t>대박리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금남면</t>
        </is>
      </c>
    </row>
    <row r="10352">
      <c r="A10352" s="3" t="n">
        <v>2025</v>
      </c>
      <c r="B10352" s="4" t="n">
        <v>25000</v>
      </c>
      <c r="C10352" s="4" t="n">
        <v>173</v>
      </c>
      <c r="D10352" s="4" t="n">
        <v>52.3325</v>
      </c>
      <c r="E10352" s="5" t="n">
        <v>477.7</v>
      </c>
      <c r="F10352" s="3" t="inlineStr">
        <is>
          <t>조치원읍</t>
        </is>
      </c>
      <c r="G10352" s="3" t="inlineStr">
        <is>
          <t>신안리</t>
        </is>
      </c>
      <c r="H10352" s="3" t="inlineStr">
        <is>
          <t>제1종일반주거지역</t>
        </is>
      </c>
      <c r="I10352" s="3" t="inlineStr">
        <is>
          <t>대</t>
        </is>
      </c>
      <c r="J10352" s="3" t="inlineStr">
        <is>
          <t>조치원읍</t>
        </is>
      </c>
    </row>
    <row r="10353">
      <c r="A10353" s="3" t="n">
        <v>2025</v>
      </c>
      <c r="B10353" s="4" t="n">
        <v>25000</v>
      </c>
      <c r="C10353" s="4" t="n">
        <v>190</v>
      </c>
      <c r="D10353" s="4" t="n">
        <v>57.475</v>
      </c>
      <c r="E10353" s="5" t="n">
        <v>435</v>
      </c>
      <c r="F10353" s="3" t="inlineStr">
        <is>
          <t>조치원읍</t>
        </is>
      </c>
      <c r="G10353" s="3" t="inlineStr">
        <is>
          <t>신안리</t>
        </is>
      </c>
      <c r="H10353" s="3" t="inlineStr">
        <is>
          <t>제1종일반주거지역</t>
        </is>
      </c>
      <c r="I10353" s="3" t="inlineStr">
        <is>
          <t>대</t>
        </is>
      </c>
      <c r="J10353" s="3" t="inlineStr">
        <is>
          <t>조치원읍</t>
        </is>
      </c>
    </row>
    <row r="10354">
      <c r="A10354" s="3" t="n">
        <v>2025</v>
      </c>
      <c r="B10354" s="4" t="n">
        <v>15500</v>
      </c>
      <c r="C10354" s="4" t="n">
        <v>5800</v>
      </c>
      <c r="D10354" s="4" t="n">
        <v>1754.5</v>
      </c>
      <c r="E10354" s="5" t="n">
        <v>8.800000000000001</v>
      </c>
      <c r="F10354" s="3" t="inlineStr">
        <is>
          <t>전동면</t>
        </is>
      </c>
      <c r="G10354" s="3" t="inlineStr">
        <is>
          <t>송정리</t>
        </is>
      </c>
      <c r="H10354" s="3" t="inlineStr">
        <is>
          <t>보전관리지역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15500</v>
      </c>
      <c r="C10355" s="4" t="n">
        <v>5800</v>
      </c>
      <c r="D10355" s="4" t="n">
        <v>1754.5</v>
      </c>
      <c r="E10355" s="5" t="n">
        <v>8.800000000000001</v>
      </c>
      <c r="F10355" s="3" t="inlineStr">
        <is>
          <t>전동면</t>
        </is>
      </c>
      <c r="G10355" s="3" t="inlineStr">
        <is>
          <t>송정리</t>
        </is>
      </c>
      <c r="H10355" s="3" t="inlineStr">
        <is>
          <t>보전관리지역</t>
        </is>
      </c>
      <c r="I10355" s="3" t="inlineStr">
        <is>
          <t>임야</t>
        </is>
      </c>
      <c r="J10355" s="3" t="inlineStr">
        <is>
          <t>전동면</t>
        </is>
      </c>
    </row>
    <row r="10356">
      <c r="A10356" s="3" t="n">
        <v>2025</v>
      </c>
      <c r="B10356" s="4" t="n">
        <v>34000</v>
      </c>
      <c r="C10356" s="4" t="n">
        <v>270.7</v>
      </c>
      <c r="D10356" s="4" t="n">
        <v>81.88674999999999</v>
      </c>
      <c r="E10356" s="5" t="n">
        <v>415.2</v>
      </c>
      <c r="F10356" s="3" t="inlineStr">
        <is>
          <t>아름동</t>
        </is>
      </c>
      <c r="G10356" s="3" t="inlineStr"/>
      <c r="H10356" s="3" t="inlineStr">
        <is>
          <t>제1종전용주거지역</t>
        </is>
      </c>
      <c r="I10356" s="3" t="inlineStr">
        <is>
          <t>대</t>
        </is>
      </c>
      <c r="J10356" s="3" t="inlineStr">
        <is>
          <t>아름동</t>
        </is>
      </c>
    </row>
    <row r="10357">
      <c r="A10357" s="3" t="n">
        <v>2025</v>
      </c>
      <c r="B10357" s="4" t="n">
        <v>83279</v>
      </c>
      <c r="C10357" s="4" t="n">
        <v>2313</v>
      </c>
      <c r="D10357" s="4" t="n">
        <v>699.6825</v>
      </c>
      <c r="E10357" s="5" t="n">
        <v>119</v>
      </c>
      <c r="F10357" s="3" t="inlineStr">
        <is>
          <t>전의면</t>
        </is>
      </c>
      <c r="G10357" s="3" t="inlineStr">
        <is>
          <t>동교리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전의면</t>
        </is>
      </c>
    </row>
    <row r="10358">
      <c r="A10358" s="3" t="n">
        <v>2025</v>
      </c>
      <c r="B10358" s="4" t="n">
        <v>92712</v>
      </c>
      <c r="C10358" s="4" t="n">
        <v>2575</v>
      </c>
      <c r="D10358" s="4" t="n">
        <v>778.9375</v>
      </c>
      <c r="E10358" s="5" t="n">
        <v>119</v>
      </c>
      <c r="F10358" s="3" t="inlineStr">
        <is>
          <t>전의면</t>
        </is>
      </c>
      <c r="G10358" s="3" t="inlineStr">
        <is>
          <t>동교리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전의면</t>
        </is>
      </c>
    </row>
    <row r="10359">
      <c r="A10359" s="3" t="n">
        <v>2025</v>
      </c>
      <c r="B10359" s="4" t="n">
        <v>1010</v>
      </c>
      <c r="C10359" s="4" t="n">
        <v>23</v>
      </c>
      <c r="D10359" s="4" t="n">
        <v>6.9575</v>
      </c>
      <c r="E10359" s="5" t="n">
        <v>145.2</v>
      </c>
      <c r="F10359" s="3" t="inlineStr">
        <is>
          <t>전의면</t>
        </is>
      </c>
      <c r="G10359" s="3" t="inlineStr">
        <is>
          <t>동교리</t>
        </is>
      </c>
      <c r="H10359" s="3" t="inlineStr">
        <is>
          <t>계획관리지역</t>
        </is>
      </c>
      <c r="I10359" s="3" t="inlineStr">
        <is>
          <t>임야</t>
        </is>
      </c>
      <c r="J10359" s="3" t="inlineStr">
        <is>
          <t>전의면</t>
        </is>
      </c>
    </row>
    <row r="10360">
      <c r="A10360" s="3" t="n">
        <v>2025</v>
      </c>
      <c r="B10360" s="4" t="n">
        <v>7350</v>
      </c>
      <c r="C10360" s="4" t="n">
        <v>8100</v>
      </c>
      <c r="D10360" s="4" t="n">
        <v>2450.25</v>
      </c>
      <c r="E10360" s="5" t="n">
        <v>3</v>
      </c>
      <c r="F10360" s="3" t="inlineStr">
        <is>
          <t>전의면</t>
        </is>
      </c>
      <c r="G10360" s="3" t="inlineStr">
        <is>
          <t>다방리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전의면</t>
        </is>
      </c>
    </row>
    <row r="10361">
      <c r="A10361" s="3" t="n">
        <v>2025</v>
      </c>
      <c r="B10361" s="4" t="n">
        <v>2572</v>
      </c>
      <c r="C10361" s="4" t="n">
        <v>109</v>
      </c>
      <c r="D10361" s="4" t="n">
        <v>32.9725</v>
      </c>
      <c r="E10361" s="5" t="n">
        <v>78</v>
      </c>
      <c r="F10361" s="3" t="inlineStr">
        <is>
          <t>부강면</t>
        </is>
      </c>
      <c r="G10361" s="3" t="inlineStr">
        <is>
          <t>산수리</t>
        </is>
      </c>
      <c r="H10361" s="3" t="inlineStr">
        <is>
          <t>보전관리지역</t>
        </is>
      </c>
      <c r="I10361" s="3" t="inlineStr">
        <is>
          <t>답</t>
        </is>
      </c>
      <c r="J10361" s="3" t="inlineStr">
        <is>
          <t>부강면</t>
        </is>
      </c>
    </row>
    <row r="10362">
      <c r="A10362" s="3" t="n">
        <v>2026</v>
      </c>
      <c r="B10362" s="4" t="n">
        <v>44998</v>
      </c>
      <c r="C10362" s="4" t="n">
        <v>450</v>
      </c>
      <c r="D10362" s="4" t="n">
        <v>136.125</v>
      </c>
      <c r="E10362" s="5" t="n">
        <v>330.6</v>
      </c>
      <c r="F10362" s="3" t="inlineStr">
        <is>
          <t>장군면</t>
        </is>
      </c>
      <c r="G10362" s="3" t="inlineStr">
        <is>
          <t>대교리</t>
        </is>
      </c>
      <c r="H10362" s="3" t="inlineStr">
        <is>
          <t>보전관리지역</t>
        </is>
      </c>
      <c r="I10362" s="3" t="inlineStr">
        <is>
          <t>대</t>
        </is>
      </c>
      <c r="J10362" s="3" t="inlineStr">
        <is>
          <t>장군면</t>
        </is>
      </c>
    </row>
    <row r="10363">
      <c r="A10363" s="3" t="n">
        <v>2026</v>
      </c>
      <c r="B10363" s="4" t="n">
        <v>47393</v>
      </c>
      <c r="C10363" s="4" t="n">
        <v>505</v>
      </c>
      <c r="D10363" s="4" t="n">
        <v>152.7625</v>
      </c>
      <c r="E10363" s="5" t="n">
        <v>310.2</v>
      </c>
      <c r="F10363" s="3" t="inlineStr">
        <is>
          <t>장군면</t>
        </is>
      </c>
      <c r="G10363" s="3" t="inlineStr">
        <is>
          <t>대교리</t>
        </is>
      </c>
      <c r="H10363" s="3" t="inlineStr">
        <is>
          <t>보전관리지역</t>
        </is>
      </c>
      <c r="I10363" s="3" t="inlineStr">
        <is>
          <t>대</t>
        </is>
      </c>
      <c r="J10363" s="3" t="inlineStr">
        <is>
          <t>장군면</t>
        </is>
      </c>
    </row>
    <row r="10364">
      <c r="A10364" s="3" t="n">
        <v>2026</v>
      </c>
      <c r="B10364" s="4" t="n">
        <v>40622</v>
      </c>
      <c r="C10364" s="4" t="n">
        <v>450</v>
      </c>
      <c r="D10364" s="4" t="n">
        <v>136.125</v>
      </c>
      <c r="E10364" s="5" t="n">
        <v>298.4</v>
      </c>
      <c r="F10364" s="3" t="inlineStr">
        <is>
          <t>장군면</t>
        </is>
      </c>
      <c r="G10364" s="3" t="inlineStr">
        <is>
          <t>대교리</t>
        </is>
      </c>
      <c r="H10364" s="3" t="inlineStr">
        <is>
          <t>보전관리지역</t>
        </is>
      </c>
      <c r="I10364" s="3" t="inlineStr">
        <is>
          <t>대</t>
        </is>
      </c>
      <c r="J10364" s="3" t="inlineStr">
        <is>
          <t>장군면</t>
        </is>
      </c>
    </row>
    <row r="10365">
      <c r="A10365" s="3" t="n">
        <v>2026</v>
      </c>
      <c r="B10365" s="4" t="n">
        <v>45444</v>
      </c>
      <c r="C10365" s="4" t="n">
        <v>450</v>
      </c>
      <c r="D10365" s="4" t="n">
        <v>136.125</v>
      </c>
      <c r="E10365" s="5" t="n">
        <v>333.8</v>
      </c>
      <c r="F10365" s="3" t="inlineStr">
        <is>
          <t>장군면</t>
        </is>
      </c>
      <c r="G10365" s="3" t="inlineStr">
        <is>
          <t>대교리</t>
        </is>
      </c>
      <c r="H10365" s="3" t="inlineStr">
        <is>
          <t>보전관리지역</t>
        </is>
      </c>
      <c r="I10365" s="3" t="inlineStr">
        <is>
          <t>대</t>
        </is>
      </c>
      <c r="J10365" s="3" t="inlineStr">
        <is>
          <t>장군면</t>
        </is>
      </c>
    </row>
    <row r="10366">
      <c r="A10366" s="3" t="n">
        <v>2026</v>
      </c>
      <c r="B10366" s="4" t="n">
        <v>28000</v>
      </c>
      <c r="C10366" s="4" t="n">
        <v>1553</v>
      </c>
      <c r="D10366" s="4" t="n">
        <v>469.7825</v>
      </c>
      <c r="E10366" s="5" t="n">
        <v>59.6</v>
      </c>
      <c r="F10366" s="3" t="inlineStr">
        <is>
          <t>부강면</t>
        </is>
      </c>
      <c r="G10366" s="3" t="inlineStr">
        <is>
          <t>행산리</t>
        </is>
      </c>
      <c r="H10366" s="3" t="inlineStr">
        <is>
          <t>계획관리지역</t>
        </is>
      </c>
      <c r="I10366" s="3" t="inlineStr">
        <is>
          <t>답</t>
        </is>
      </c>
      <c r="J10366" s="3" t="inlineStr">
        <is>
          <t>부강면</t>
        </is>
      </c>
    </row>
    <row r="10367">
      <c r="A10367" s="3" t="n">
        <v>2026</v>
      </c>
      <c r="B10367" s="4" t="n">
        <v>2000</v>
      </c>
      <c r="C10367" s="4" t="n">
        <v>200</v>
      </c>
      <c r="D10367" s="4" t="n">
        <v>60.5</v>
      </c>
      <c r="E10367" s="5" t="n">
        <v>33.1</v>
      </c>
      <c r="F10367" s="3" t="inlineStr">
        <is>
          <t>연서면</t>
        </is>
      </c>
      <c r="G10367" s="3" t="inlineStr">
        <is>
          <t>신대리</t>
        </is>
      </c>
      <c r="H10367" s="3" t="inlineStr">
        <is>
          <t>보전관리지역</t>
        </is>
      </c>
      <c r="I10367" s="3" t="inlineStr">
        <is>
          <t>전</t>
        </is>
      </c>
      <c r="J10367" s="3" t="inlineStr">
        <is>
          <t>연서면</t>
        </is>
      </c>
    </row>
    <row r="10368">
      <c r="A10368" s="3" t="n">
        <v>2024</v>
      </c>
      <c r="B10368" s="4" t="n">
        <v>180</v>
      </c>
      <c r="C10368" s="4" t="n">
        <v>3</v>
      </c>
      <c r="D10368" s="4" t="n">
        <v>0.9075</v>
      </c>
      <c r="E10368" s="5" t="n">
        <v>198.3</v>
      </c>
      <c r="F10368" s="3" t="inlineStr">
        <is>
          <t>조치원읍</t>
        </is>
      </c>
      <c r="G10368" s="3" t="inlineStr">
        <is>
          <t>신안리</t>
        </is>
      </c>
      <c r="H10368" s="3" t="inlineStr">
        <is>
          <t>자연녹지지역</t>
        </is>
      </c>
      <c r="I10368" s="3" t="inlineStr">
        <is>
          <t>양어장</t>
        </is>
      </c>
      <c r="J10368" s="3" t="inlineStr">
        <is>
          <t>조치원읍</t>
        </is>
      </c>
    </row>
    <row r="10369">
      <c r="A10369" s="3" t="n">
        <v>2024</v>
      </c>
      <c r="B10369" s="4" t="n">
        <v>1355</v>
      </c>
      <c r="C10369" s="4" t="n">
        <v>25</v>
      </c>
      <c r="D10369" s="4" t="n">
        <v>7.5625</v>
      </c>
      <c r="E10369" s="5" t="n">
        <v>179.2</v>
      </c>
      <c r="F10369" s="3" t="inlineStr">
        <is>
          <t>조치원읍</t>
        </is>
      </c>
      <c r="G10369" s="3" t="inlineStr">
        <is>
          <t>신안리</t>
        </is>
      </c>
      <c r="H10369" s="3" t="inlineStr">
        <is>
          <t>자연녹지지역</t>
        </is>
      </c>
      <c r="I10369" s="3" t="inlineStr">
        <is>
          <t>공원</t>
        </is>
      </c>
      <c r="J10369" s="3" t="inlineStr">
        <is>
          <t>조치원읍</t>
        </is>
      </c>
    </row>
    <row r="10370">
      <c r="A10370" s="3" t="n">
        <v>2024</v>
      </c>
      <c r="B10370" s="4" t="n">
        <v>20000</v>
      </c>
      <c r="C10370" s="4" t="n">
        <v>248</v>
      </c>
      <c r="D10370" s="4" t="n">
        <v>75.02</v>
      </c>
      <c r="E10370" s="5" t="n">
        <v>266.6</v>
      </c>
      <c r="F10370" s="3" t="inlineStr">
        <is>
          <t>조치원읍</t>
        </is>
      </c>
      <c r="G10370" s="3" t="inlineStr">
        <is>
          <t>교리</t>
        </is>
      </c>
      <c r="H10370" s="3" t="inlineStr">
        <is>
          <t>준주거지역</t>
        </is>
      </c>
      <c r="I10370" s="3" t="inlineStr">
        <is>
          <t>대</t>
        </is>
      </c>
      <c r="J10370" s="3" t="inlineStr">
        <is>
          <t>조치원읍</t>
        </is>
      </c>
    </row>
    <row r="10371">
      <c r="A10371" s="3" t="n">
        <v>2024</v>
      </c>
      <c r="B10371" s="4" t="n">
        <v>14877</v>
      </c>
      <c r="C10371" s="4" t="n">
        <v>135</v>
      </c>
      <c r="D10371" s="4" t="n">
        <v>40.8375</v>
      </c>
      <c r="E10371" s="5" t="n">
        <v>364.3</v>
      </c>
      <c r="F10371" s="3" t="inlineStr">
        <is>
          <t>전의면</t>
        </is>
      </c>
      <c r="G10371" s="3" t="inlineStr">
        <is>
          <t>동교리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전의면</t>
        </is>
      </c>
    </row>
    <row r="10372">
      <c r="A10372" s="3" t="n">
        <v>2024</v>
      </c>
      <c r="B10372" s="4" t="n">
        <v>880</v>
      </c>
      <c r="C10372" s="4" t="n">
        <v>8</v>
      </c>
      <c r="D10372" s="4" t="n">
        <v>2.42</v>
      </c>
      <c r="E10372" s="5" t="n">
        <v>363.6</v>
      </c>
      <c r="F10372" s="3" t="inlineStr">
        <is>
          <t>전의면</t>
        </is>
      </c>
      <c r="G10372" s="3" t="inlineStr">
        <is>
          <t>동교리</t>
        </is>
      </c>
      <c r="H10372" s="3" t="inlineStr">
        <is>
          <t>자연녹지지역</t>
        </is>
      </c>
      <c r="I10372" s="3" t="inlineStr">
        <is>
          <t>대</t>
        </is>
      </c>
      <c r="J10372" s="3" t="inlineStr">
        <is>
          <t>전의면</t>
        </is>
      </c>
    </row>
    <row r="10373">
      <c r="A10373" s="3" t="n">
        <v>2024</v>
      </c>
      <c r="B10373" s="4" t="n">
        <v>110</v>
      </c>
      <c r="C10373" s="4" t="n">
        <v>1</v>
      </c>
      <c r="D10373" s="4" t="n">
        <v>0.3025</v>
      </c>
      <c r="E10373" s="5" t="n">
        <v>363.6</v>
      </c>
      <c r="F10373" s="3" t="inlineStr">
        <is>
          <t>전의면</t>
        </is>
      </c>
      <c r="G10373" s="3" t="inlineStr">
        <is>
          <t>동교리</t>
        </is>
      </c>
      <c r="H10373" s="3" t="inlineStr">
        <is>
          <t>자연녹지지역</t>
        </is>
      </c>
      <c r="I10373" s="3" t="inlineStr">
        <is>
          <t>대</t>
        </is>
      </c>
      <c r="J10373" s="3" t="inlineStr">
        <is>
          <t>전의면</t>
        </is>
      </c>
    </row>
    <row r="10374">
      <c r="A10374" s="3" t="n">
        <v>2024</v>
      </c>
      <c r="B10374" s="4" t="n">
        <v>110</v>
      </c>
      <c r="C10374" s="4" t="n">
        <v>1</v>
      </c>
      <c r="D10374" s="4" t="n">
        <v>0.3025</v>
      </c>
      <c r="E10374" s="5" t="n">
        <v>363.6</v>
      </c>
      <c r="F10374" s="3" t="inlineStr">
        <is>
          <t>전의면</t>
        </is>
      </c>
      <c r="G10374" s="3" t="inlineStr">
        <is>
          <t>동교리</t>
        </is>
      </c>
      <c r="H10374" s="3" t="inlineStr">
        <is>
          <t>자연녹지지역</t>
        </is>
      </c>
      <c r="I10374" s="3" t="inlineStr">
        <is>
          <t>대</t>
        </is>
      </c>
      <c r="J10374" s="3" t="inlineStr">
        <is>
          <t>전의면</t>
        </is>
      </c>
    </row>
    <row r="10375">
      <c r="A10375" s="3" t="n">
        <v>2024</v>
      </c>
      <c r="B10375" s="4" t="n">
        <v>22824</v>
      </c>
      <c r="C10375" s="4" t="n">
        <v>503</v>
      </c>
      <c r="D10375" s="4" t="n">
        <v>152.1575</v>
      </c>
      <c r="E10375" s="5" t="n">
        <v>150</v>
      </c>
      <c r="F10375" s="3" t="inlineStr">
        <is>
          <t>연동면</t>
        </is>
      </c>
      <c r="G10375" s="3" t="inlineStr">
        <is>
          <t>내판리</t>
        </is>
      </c>
      <c r="H10375" s="3" t="inlineStr">
        <is>
          <t>보전관리지역</t>
        </is>
      </c>
      <c r="I10375" s="3" t="inlineStr">
        <is>
          <t>대</t>
        </is>
      </c>
      <c r="J10375" s="3" t="inlineStr">
        <is>
          <t>연동면</t>
        </is>
      </c>
    </row>
    <row r="10376">
      <c r="A10376" s="3" t="n">
        <v>2024</v>
      </c>
      <c r="B10376" s="4" t="n">
        <v>11661</v>
      </c>
      <c r="C10376" s="4" t="n">
        <v>257</v>
      </c>
      <c r="D10376" s="4" t="n">
        <v>77.74249999999999</v>
      </c>
      <c r="E10376" s="5" t="n">
        <v>150</v>
      </c>
      <c r="F10376" s="3" t="inlineStr">
        <is>
          <t>연동면</t>
        </is>
      </c>
      <c r="G10376" s="3" t="inlineStr">
        <is>
          <t>내판리</t>
        </is>
      </c>
      <c r="H10376" s="3" t="inlineStr">
        <is>
          <t>보전관리지역</t>
        </is>
      </c>
      <c r="I10376" s="3" t="inlineStr">
        <is>
          <t>공원</t>
        </is>
      </c>
      <c r="J10376" s="3" t="inlineStr">
        <is>
          <t>연동면</t>
        </is>
      </c>
    </row>
    <row r="10377">
      <c r="A10377" s="3" t="n">
        <v>2024</v>
      </c>
      <c r="B10377" s="4" t="n">
        <v>71000</v>
      </c>
      <c r="C10377" s="4" t="n">
        <v>385.5</v>
      </c>
      <c r="D10377" s="4" t="n">
        <v>116.61375</v>
      </c>
      <c r="E10377" s="5" t="n">
        <v>608.8</v>
      </c>
      <c r="F10377" s="3" t="inlineStr">
        <is>
          <t>고운동</t>
        </is>
      </c>
      <c r="G10377" s="3" t="inlineStr"/>
      <c r="H10377" s="3" t="inlineStr">
        <is>
          <t>제1종전용주거지역</t>
        </is>
      </c>
      <c r="I10377" s="3" t="inlineStr">
        <is>
          <t>대</t>
        </is>
      </c>
      <c r="J10377" s="3" t="inlineStr">
        <is>
          <t>고운동</t>
        </is>
      </c>
    </row>
    <row r="10378">
      <c r="A10378" s="3" t="n">
        <v>2024</v>
      </c>
      <c r="B10378" s="4" t="n">
        <v>28000</v>
      </c>
      <c r="C10378" s="4" t="n">
        <v>1392</v>
      </c>
      <c r="D10378" s="4" t="n">
        <v>421.08</v>
      </c>
      <c r="E10378" s="5" t="n">
        <v>66.5</v>
      </c>
      <c r="F10378" s="3" t="inlineStr">
        <is>
          <t>금남면</t>
        </is>
      </c>
      <c r="G10378" s="3" t="inlineStr">
        <is>
          <t>영대리</t>
        </is>
      </c>
      <c r="H10378" s="3" t="inlineStr">
        <is>
          <t>자연녹지지역</t>
        </is>
      </c>
      <c r="I10378" s="3" t="inlineStr">
        <is>
          <t>전</t>
        </is>
      </c>
      <c r="J10378" s="3" t="inlineStr">
        <is>
          <t>금남면</t>
        </is>
      </c>
    </row>
    <row r="10379">
      <c r="A10379" s="3" t="n">
        <v>2024</v>
      </c>
      <c r="B10379" s="4" t="n">
        <v>25450</v>
      </c>
      <c r="C10379" s="4" t="n">
        <v>9841</v>
      </c>
      <c r="D10379" s="4" t="n">
        <v>2976.9025</v>
      </c>
      <c r="E10379" s="5" t="n">
        <v>8.5</v>
      </c>
      <c r="F10379" s="3" t="inlineStr">
        <is>
          <t>전동면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임야</t>
        </is>
      </c>
      <c r="J10379" s="3" t="inlineStr">
        <is>
          <t>전동면</t>
        </is>
      </c>
    </row>
    <row r="10380">
      <c r="A10380" s="3" t="n">
        <v>2024</v>
      </c>
      <c r="B10380" s="4" t="n">
        <v>42710</v>
      </c>
      <c r="C10380" s="4" t="n">
        <v>20392</v>
      </c>
      <c r="D10380" s="4" t="n">
        <v>6168.58</v>
      </c>
      <c r="E10380" s="5" t="n">
        <v>6.9</v>
      </c>
      <c r="F10380" s="3" t="inlineStr">
        <is>
          <t>전동면</t>
        </is>
      </c>
      <c r="G10380" s="3" t="inlineStr">
        <is>
          <t>송정리</t>
        </is>
      </c>
      <c r="H10380" s="3" t="inlineStr">
        <is>
          <t>보전관리지역</t>
        </is>
      </c>
      <c r="I10380" s="3" t="inlineStr">
        <is>
          <t>임야</t>
        </is>
      </c>
      <c r="J10380" s="3" t="inlineStr">
        <is>
          <t>전동면</t>
        </is>
      </c>
    </row>
    <row r="10381">
      <c r="A10381" s="3" t="n">
        <v>2024</v>
      </c>
      <c r="B10381" s="4" t="n">
        <v>34000</v>
      </c>
      <c r="C10381" s="4" t="n">
        <v>493</v>
      </c>
      <c r="D10381" s="4" t="n">
        <v>149.1325</v>
      </c>
      <c r="E10381" s="5" t="n">
        <v>228</v>
      </c>
      <c r="F10381" s="3" t="inlineStr">
        <is>
          <t>장군면</t>
        </is>
      </c>
      <c r="G10381" s="3" t="inlineStr">
        <is>
          <t>대교리</t>
        </is>
      </c>
      <c r="H10381" s="3" t="inlineStr">
        <is>
          <t>보전관리지역</t>
        </is>
      </c>
      <c r="I10381" s="3" t="inlineStr">
        <is>
          <t>임야</t>
        </is>
      </c>
      <c r="J10381" s="3" t="inlineStr">
        <is>
          <t>장군면</t>
        </is>
      </c>
    </row>
    <row r="10382">
      <c r="A10382" s="3" t="n">
        <v>2024</v>
      </c>
      <c r="B10382" s="4" t="n">
        <v>11450</v>
      </c>
      <c r="C10382" s="4" t="n">
        <v>166</v>
      </c>
      <c r="D10382" s="4" t="n">
        <v>50.215</v>
      </c>
      <c r="E10382" s="5" t="n">
        <v>228</v>
      </c>
      <c r="F10382" s="3" t="inlineStr">
        <is>
          <t>장군면</t>
        </is>
      </c>
      <c r="G10382" s="3" t="inlineStr">
        <is>
          <t>대교리</t>
        </is>
      </c>
      <c r="H10382" s="3" t="inlineStr">
        <is>
          <t>보전관리지역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2024</v>
      </c>
      <c r="B10383" s="4" t="n">
        <v>16900</v>
      </c>
      <c r="C10383" s="4" t="n">
        <v>187</v>
      </c>
      <c r="D10383" s="4" t="n">
        <v>56.5675</v>
      </c>
      <c r="E10383" s="5" t="n">
        <v>298.8</v>
      </c>
      <c r="F10383" s="3" t="inlineStr">
        <is>
          <t>연동면</t>
        </is>
      </c>
      <c r="G10383" s="3" t="inlineStr">
        <is>
          <t>문주리</t>
        </is>
      </c>
      <c r="H10383" s="3" t="inlineStr">
        <is>
          <t>계획관리지역</t>
        </is>
      </c>
      <c r="I10383" s="3" t="inlineStr">
        <is>
          <t>전</t>
        </is>
      </c>
      <c r="J10383" s="3" t="inlineStr">
        <is>
          <t>연동면</t>
        </is>
      </c>
    </row>
    <row r="10384">
      <c r="A10384" s="3" t="n">
        <v>2024</v>
      </c>
      <c r="B10384" s="4" t="n">
        <v>2700</v>
      </c>
      <c r="C10384" s="4" t="n">
        <v>99</v>
      </c>
      <c r="D10384" s="4" t="n">
        <v>29.9475</v>
      </c>
      <c r="E10384" s="5" t="n">
        <v>90.2</v>
      </c>
      <c r="F10384" s="3" t="inlineStr">
        <is>
          <t>연동면</t>
        </is>
      </c>
      <c r="G10384" s="3" t="inlineStr">
        <is>
          <t>문주리</t>
        </is>
      </c>
      <c r="H10384" s="3" t="inlineStr">
        <is>
          <t>보전관리지역</t>
        </is>
      </c>
      <c r="I10384" s="3" t="inlineStr">
        <is>
          <t>과수원</t>
        </is>
      </c>
      <c r="J10384" s="3" t="inlineStr">
        <is>
          <t>연동면</t>
        </is>
      </c>
    </row>
    <row r="10385">
      <c r="A10385" s="3" t="n">
        <v>2024</v>
      </c>
      <c r="B10385" s="4" t="n">
        <v>2100</v>
      </c>
      <c r="C10385" s="4" t="n">
        <v>78</v>
      </c>
      <c r="D10385" s="4" t="n">
        <v>23.595</v>
      </c>
      <c r="E10385" s="5" t="n">
        <v>89</v>
      </c>
      <c r="F10385" s="3" t="inlineStr">
        <is>
          <t>연동면</t>
        </is>
      </c>
      <c r="G10385" s="3" t="inlineStr">
        <is>
          <t>문주리</t>
        </is>
      </c>
      <c r="H10385" s="3" t="inlineStr">
        <is>
          <t>보전관리지역</t>
        </is>
      </c>
      <c r="I10385" s="3" t="inlineStr">
        <is>
          <t>과수원</t>
        </is>
      </c>
      <c r="J10385" s="3" t="inlineStr">
        <is>
          <t>연동면</t>
        </is>
      </c>
    </row>
    <row r="10386">
      <c r="A10386" s="3" t="n">
        <v>2024</v>
      </c>
      <c r="B10386" s="4" t="n">
        <v>11000</v>
      </c>
      <c r="C10386" s="4" t="n">
        <v>330</v>
      </c>
      <c r="D10386" s="4" t="n">
        <v>99.825</v>
      </c>
      <c r="E10386" s="5" t="n">
        <v>110.2</v>
      </c>
      <c r="F10386" s="3" t="inlineStr">
        <is>
          <t>장군면</t>
        </is>
      </c>
      <c r="G10386" s="3" t="inlineStr">
        <is>
          <t>봉안리</t>
        </is>
      </c>
      <c r="H10386" s="3" t="inlineStr">
        <is>
          <t>보전관리지역</t>
        </is>
      </c>
      <c r="I10386" s="3" t="inlineStr">
        <is>
          <t>대</t>
        </is>
      </c>
      <c r="J10386" s="3" t="inlineStr">
        <is>
          <t>장군면</t>
        </is>
      </c>
    </row>
    <row r="10387">
      <c r="A10387" s="3" t="n">
        <v>2024</v>
      </c>
      <c r="B10387" s="4" t="n">
        <v>5500</v>
      </c>
      <c r="C10387" s="4" t="n">
        <v>66</v>
      </c>
      <c r="D10387" s="4" t="n">
        <v>19.965</v>
      </c>
      <c r="E10387" s="5" t="n">
        <v>275.5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계획관리지역</t>
        </is>
      </c>
      <c r="I10387" s="3" t="inlineStr">
        <is>
          <t>대</t>
        </is>
      </c>
      <c r="J10387" s="3" t="inlineStr">
        <is>
          <t>장군면</t>
        </is>
      </c>
    </row>
    <row r="10388">
      <c r="A10388" s="3" t="n">
        <v>2024</v>
      </c>
      <c r="B10388" s="4" t="n">
        <v>50000</v>
      </c>
      <c r="C10388" s="4" t="n">
        <v>331.9</v>
      </c>
      <c r="D10388" s="4" t="n">
        <v>100.39975</v>
      </c>
      <c r="E10388" s="5" t="n">
        <v>498</v>
      </c>
      <c r="F10388" s="3" t="inlineStr">
        <is>
          <t>고운동</t>
        </is>
      </c>
      <c r="G10388" s="3" t="inlineStr"/>
      <c r="H10388" s="3" t="inlineStr">
        <is>
          <t>제1종전용주거지역</t>
        </is>
      </c>
      <c r="I10388" s="3" t="inlineStr">
        <is>
          <t>대</t>
        </is>
      </c>
      <c r="J10388" s="3" t="inlineStr">
        <is>
          <t>고운동</t>
        </is>
      </c>
    </row>
    <row r="10389">
      <c r="A10389" s="3" t="n">
        <v>2024</v>
      </c>
      <c r="B10389" s="4" t="n">
        <v>1000</v>
      </c>
      <c r="C10389" s="4" t="n">
        <v>33</v>
      </c>
      <c r="D10389" s="4" t="n">
        <v>9.9825</v>
      </c>
      <c r="E10389" s="5" t="n">
        <v>100.2</v>
      </c>
      <c r="F10389" s="3" t="inlineStr">
        <is>
          <t>전의면</t>
        </is>
      </c>
      <c r="G10389" s="3" t="inlineStr">
        <is>
          <t>관정리</t>
        </is>
      </c>
      <c r="H10389" s="3" t="inlineStr">
        <is>
          <t>계획관리지역</t>
        </is>
      </c>
      <c r="I10389" s="3" t="inlineStr">
        <is>
          <t>도로</t>
        </is>
      </c>
      <c r="J10389" s="3" t="inlineStr">
        <is>
          <t>전의면</t>
        </is>
      </c>
    </row>
    <row r="10390">
      <c r="A10390" s="3" t="n">
        <v>2024</v>
      </c>
      <c r="B10390" s="4" t="n">
        <v>5200</v>
      </c>
      <c r="C10390" s="4" t="n">
        <v>139</v>
      </c>
      <c r="D10390" s="4" t="n">
        <v>42.0475</v>
      </c>
      <c r="E10390" s="5" t="n">
        <v>123.7</v>
      </c>
      <c r="F10390" s="3" t="inlineStr">
        <is>
          <t>연서면</t>
        </is>
      </c>
      <c r="G10390" s="3" t="inlineStr">
        <is>
          <t>봉암리</t>
        </is>
      </c>
      <c r="H10390" s="3" t="inlineStr">
        <is>
          <t>계획관리지역</t>
        </is>
      </c>
      <c r="I10390" s="3" t="inlineStr">
        <is>
          <t>대</t>
        </is>
      </c>
      <c r="J10390" s="3" t="inlineStr">
        <is>
          <t>연서면</t>
        </is>
      </c>
    </row>
    <row r="10391">
      <c r="A10391" s="3" t="n">
        <v>2024</v>
      </c>
      <c r="B10391" s="4" t="n">
        <v>55000</v>
      </c>
      <c r="C10391" s="4" t="n">
        <v>353.6</v>
      </c>
      <c r="D10391" s="4" t="n">
        <v>106.964</v>
      </c>
      <c r="E10391" s="5" t="n">
        <v>514.2</v>
      </c>
      <c r="F10391" s="3" t="inlineStr">
        <is>
          <t>고운동</t>
        </is>
      </c>
      <c r="G10391" s="3" t="inlineStr"/>
      <c r="H10391" s="3" t="inlineStr">
        <is>
          <t>제1종전용주거지역</t>
        </is>
      </c>
      <c r="I10391" s="3" t="inlineStr">
        <is>
          <t>대</t>
        </is>
      </c>
      <c r="J10391" s="3" t="inlineStr">
        <is>
          <t>고운동</t>
        </is>
      </c>
    </row>
    <row r="10392">
      <c r="A10392" s="3" t="n">
        <v>2024</v>
      </c>
      <c r="B10392" s="4" t="n">
        <v>22500</v>
      </c>
      <c r="C10392" s="4" t="n">
        <v>163</v>
      </c>
      <c r="D10392" s="4" t="n">
        <v>49.3075</v>
      </c>
      <c r="E10392" s="5" t="n">
        <v>456.3</v>
      </c>
      <c r="F10392" s="3" t="inlineStr">
        <is>
          <t>반곡동</t>
        </is>
      </c>
      <c r="G10392" s="3" t="inlineStr"/>
      <c r="H10392" s="3" t="inlineStr">
        <is>
          <t>제1종전용주거지역</t>
        </is>
      </c>
      <c r="I10392" s="3" t="inlineStr">
        <is>
          <t>대</t>
        </is>
      </c>
      <c r="J10392" s="3" t="inlineStr">
        <is>
          <t>반곡동</t>
        </is>
      </c>
    </row>
    <row r="10393">
      <c r="A10393" s="3" t="n">
        <v>2024</v>
      </c>
      <c r="B10393" s="4" t="n">
        <v>42557</v>
      </c>
      <c r="C10393" s="4" t="n">
        <v>486</v>
      </c>
      <c r="D10393" s="4" t="n">
        <v>147.015</v>
      </c>
      <c r="E10393" s="5" t="n">
        <v>289.5</v>
      </c>
      <c r="F10393" s="3" t="inlineStr">
        <is>
          <t>금남면</t>
        </is>
      </c>
      <c r="G10393" s="3" t="inlineStr">
        <is>
          <t>도남리</t>
        </is>
      </c>
      <c r="H10393" s="3" t="inlineStr">
        <is>
          <t>자연녹지지역</t>
        </is>
      </c>
      <c r="I10393" s="3" t="inlineStr">
        <is>
          <t>대</t>
        </is>
      </c>
      <c r="J10393" s="3" t="inlineStr">
        <is>
          <t>금남면</t>
        </is>
      </c>
    </row>
    <row r="10394">
      <c r="A10394" s="3" t="n">
        <v>2023</v>
      </c>
      <c r="B10394" s="4" t="n">
        <v>16000</v>
      </c>
      <c r="C10394" s="4" t="n">
        <v>258</v>
      </c>
      <c r="D10394" s="4" t="n">
        <v>78.045</v>
      </c>
      <c r="E10394" s="5" t="n">
        <v>205</v>
      </c>
      <c r="F10394" s="3" t="inlineStr">
        <is>
          <t>연동면</t>
        </is>
      </c>
      <c r="G10394" s="3" t="inlineStr">
        <is>
          <t>명학리</t>
        </is>
      </c>
      <c r="H10394" s="3" t="inlineStr">
        <is>
          <t>계획관리지역</t>
        </is>
      </c>
      <c r="I10394" s="3" t="inlineStr">
        <is>
          <t>전</t>
        </is>
      </c>
      <c r="J10394" s="3" t="inlineStr">
        <is>
          <t>연동면</t>
        </is>
      </c>
    </row>
    <row r="10395">
      <c r="A10395" s="3" t="n">
        <v>2023</v>
      </c>
      <c r="B10395" s="4" t="n">
        <v>53455</v>
      </c>
      <c r="C10395" s="4" t="n">
        <v>447</v>
      </c>
      <c r="D10395" s="4" t="n">
        <v>135.2175</v>
      </c>
      <c r="E10395" s="5" t="n">
        <v>395.3</v>
      </c>
      <c r="F10395" s="3" t="inlineStr">
        <is>
          <t>연동면</t>
        </is>
      </c>
      <c r="G10395" s="3" t="inlineStr">
        <is>
          <t>명학리</t>
        </is>
      </c>
      <c r="H10395" s="3" t="inlineStr">
        <is>
          <t>계획관리지역</t>
        </is>
      </c>
      <c r="I10395" s="3" t="inlineStr">
        <is>
          <t>잡종지</t>
        </is>
      </c>
      <c r="J10395" s="3" t="inlineStr">
        <is>
          <t>연동면</t>
        </is>
      </c>
    </row>
    <row r="10396">
      <c r="A10396" s="3" t="n">
        <v>2023</v>
      </c>
      <c r="B10396" s="4" t="n">
        <v>1913</v>
      </c>
      <c r="C10396" s="4" t="n">
        <v>16</v>
      </c>
      <c r="D10396" s="4" t="n">
        <v>4.84</v>
      </c>
      <c r="E10396" s="5" t="n">
        <v>395.2</v>
      </c>
      <c r="F10396" s="3" t="inlineStr">
        <is>
          <t>연동면</t>
        </is>
      </c>
      <c r="G10396" s="3" t="inlineStr">
        <is>
          <t>명학리</t>
        </is>
      </c>
      <c r="H10396" s="3" t="inlineStr">
        <is>
          <t>계획관리지역</t>
        </is>
      </c>
      <c r="I10396" s="3" t="inlineStr">
        <is>
          <t>대</t>
        </is>
      </c>
      <c r="J10396" s="3" t="inlineStr">
        <is>
          <t>연동면</t>
        </is>
      </c>
    </row>
    <row r="10397">
      <c r="A10397" s="3" t="n">
        <v>2023</v>
      </c>
      <c r="B10397" s="4" t="n">
        <v>11610</v>
      </c>
      <c r="C10397" s="4" t="n">
        <v>768</v>
      </c>
      <c r="D10397" s="4" t="n">
        <v>232.32</v>
      </c>
      <c r="E10397" s="5" t="n">
        <v>50</v>
      </c>
      <c r="F10397" s="3" t="inlineStr">
        <is>
          <t>조치원읍</t>
        </is>
      </c>
      <c r="G10397" s="3" t="inlineStr">
        <is>
          <t>신안리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조치원읍</t>
        </is>
      </c>
    </row>
    <row r="10398">
      <c r="A10398" s="3" t="n">
        <v>2023</v>
      </c>
      <c r="B10398" s="4" t="n">
        <v>28840</v>
      </c>
      <c r="C10398" s="4" t="n">
        <v>1907</v>
      </c>
      <c r="D10398" s="4" t="n">
        <v>576.8674999999999</v>
      </c>
      <c r="E10398" s="5" t="n">
        <v>50</v>
      </c>
      <c r="F10398" s="3" t="inlineStr">
        <is>
          <t>조치원읍</t>
        </is>
      </c>
      <c r="G10398" s="3" t="inlineStr">
        <is>
          <t>신안리</t>
        </is>
      </c>
      <c r="H10398" s="3" t="inlineStr">
        <is>
          <t>생산녹지지역</t>
        </is>
      </c>
      <c r="I10398" s="3" t="inlineStr">
        <is>
          <t>답</t>
        </is>
      </c>
      <c r="J10398" s="3" t="inlineStr">
        <is>
          <t>조치원읍</t>
        </is>
      </c>
    </row>
    <row r="10399">
      <c r="A10399" s="3" t="n">
        <v>2023</v>
      </c>
      <c r="B10399" s="4" t="n">
        <v>4700</v>
      </c>
      <c r="C10399" s="4" t="n">
        <v>221</v>
      </c>
      <c r="D10399" s="4" t="n">
        <v>66.85249999999999</v>
      </c>
      <c r="E10399" s="5" t="n">
        <v>70.3</v>
      </c>
      <c r="F10399" s="3" t="inlineStr">
        <is>
          <t>부강면</t>
        </is>
      </c>
      <c r="G10399" s="3" t="inlineStr">
        <is>
          <t>문곡리</t>
        </is>
      </c>
      <c r="H10399" s="3" t="inlineStr">
        <is>
          <t>계획관리지역</t>
        </is>
      </c>
      <c r="I10399" s="3" t="inlineStr">
        <is>
          <t>전</t>
        </is>
      </c>
      <c r="J10399" s="3" t="inlineStr">
        <is>
          <t>부강면</t>
        </is>
      </c>
    </row>
    <row r="10400">
      <c r="A10400" s="3" t="n">
        <v>2023</v>
      </c>
      <c r="B10400" s="4" t="n">
        <v>19620</v>
      </c>
      <c r="C10400" s="4" t="n">
        <v>1441</v>
      </c>
      <c r="D10400" s="4" t="n">
        <v>435.9025</v>
      </c>
      <c r="E10400" s="5" t="n">
        <v>45</v>
      </c>
      <c r="F10400" s="3" t="inlineStr">
        <is>
          <t>전의면</t>
        </is>
      </c>
      <c r="G10400" s="3" t="inlineStr">
        <is>
          <t>유천리</t>
        </is>
      </c>
      <c r="H10400" s="3" t="inlineStr">
        <is>
          <t>농림지역</t>
        </is>
      </c>
      <c r="I10400" s="3" t="inlineStr">
        <is>
          <t>답</t>
        </is>
      </c>
      <c r="J10400" s="3" t="inlineStr">
        <is>
          <t>전의면</t>
        </is>
      </c>
    </row>
    <row r="10401">
      <c r="A10401" s="3" t="n">
        <v>2023</v>
      </c>
      <c r="B10401" s="4" t="n">
        <v>12000</v>
      </c>
      <c r="C10401" s="4" t="n">
        <v>1587</v>
      </c>
      <c r="D10401" s="4" t="n">
        <v>480.0675</v>
      </c>
      <c r="E10401" s="5" t="n">
        <v>25</v>
      </c>
      <c r="F10401" s="3" t="inlineStr">
        <is>
          <t>장군면</t>
        </is>
      </c>
      <c r="G10401" s="3" t="inlineStr">
        <is>
          <t>송정리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2023</v>
      </c>
      <c r="B10402" s="4" t="n">
        <v>22082</v>
      </c>
      <c r="C10402" s="4" t="n">
        <v>489</v>
      </c>
      <c r="D10402" s="4" t="n">
        <v>147.9225</v>
      </c>
      <c r="E10402" s="5" t="n">
        <v>149.3</v>
      </c>
      <c r="F10402" s="3" t="inlineStr">
        <is>
          <t>연기면</t>
        </is>
      </c>
      <c r="G10402" s="3" t="inlineStr">
        <is>
          <t>수산리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연기면</t>
        </is>
      </c>
    </row>
    <row r="10403">
      <c r="A10403" s="3" t="n">
        <v>2023</v>
      </c>
      <c r="B10403" s="4" t="n">
        <v>60000</v>
      </c>
      <c r="C10403" s="4" t="n">
        <v>1983</v>
      </c>
      <c r="D10403" s="4" t="n">
        <v>599.8575</v>
      </c>
      <c r="E10403" s="5" t="n">
        <v>100</v>
      </c>
      <c r="F10403" s="3" t="inlineStr">
        <is>
          <t>연동면</t>
        </is>
      </c>
      <c r="G10403" s="3" t="inlineStr">
        <is>
          <t>문주리</t>
        </is>
      </c>
      <c r="H10403" s="3" t="inlineStr">
        <is>
          <t>보전관리지역</t>
        </is>
      </c>
      <c r="I10403" s="3" t="inlineStr">
        <is>
          <t>임야</t>
        </is>
      </c>
      <c r="J10403" s="3" t="inlineStr">
        <is>
          <t>연동면</t>
        </is>
      </c>
    </row>
    <row r="10404">
      <c r="A10404" s="3" t="n">
        <v>2023</v>
      </c>
      <c r="B10404" s="4" t="n">
        <v>1702</v>
      </c>
      <c r="C10404" s="4" t="n">
        <v>148</v>
      </c>
      <c r="D10404" s="4" t="n">
        <v>44.77</v>
      </c>
      <c r="E10404" s="5" t="n">
        <v>38</v>
      </c>
      <c r="F10404" s="3" t="inlineStr">
        <is>
          <t>부강면</t>
        </is>
      </c>
      <c r="G10404" s="3" t="inlineStr">
        <is>
          <t>행산리</t>
        </is>
      </c>
      <c r="H10404" s="3" t="inlineStr">
        <is>
          <t>농림지역</t>
        </is>
      </c>
      <c r="I10404" s="3" t="inlineStr">
        <is>
          <t>하천</t>
        </is>
      </c>
      <c r="J10404" s="3" t="inlineStr">
        <is>
          <t>부강면</t>
        </is>
      </c>
    </row>
    <row r="10405">
      <c r="A10405" s="3" t="n">
        <v>2023</v>
      </c>
      <c r="B10405" s="4" t="n">
        <v>338</v>
      </c>
      <c r="C10405" s="4" t="n">
        <v>36</v>
      </c>
      <c r="D10405" s="4" t="n">
        <v>10.89</v>
      </c>
      <c r="E10405" s="5" t="n">
        <v>31</v>
      </c>
      <c r="F10405" s="3" t="inlineStr">
        <is>
          <t>부강면</t>
        </is>
      </c>
      <c r="G10405" s="3" t="inlineStr">
        <is>
          <t>산수리</t>
        </is>
      </c>
      <c r="H10405" s="3" t="inlineStr">
        <is>
          <t>농림지역</t>
        </is>
      </c>
      <c r="I10405" s="3" t="inlineStr">
        <is>
          <t>구거</t>
        </is>
      </c>
      <c r="J10405" s="3" t="inlineStr">
        <is>
          <t>부강면</t>
        </is>
      </c>
    </row>
    <row r="10406">
      <c r="A10406" s="3" t="n">
        <v>2023</v>
      </c>
      <c r="B10406" s="4" t="n">
        <v>9200</v>
      </c>
      <c r="C10406" s="4" t="n">
        <v>437.6</v>
      </c>
      <c r="D10406" s="4" t="n">
        <v>132.374</v>
      </c>
      <c r="E10406" s="5" t="n">
        <v>69.5</v>
      </c>
      <c r="F10406" s="3" t="inlineStr">
        <is>
          <t>연동면</t>
        </is>
      </c>
      <c r="G10406" s="3" t="inlineStr">
        <is>
          <t>응암리</t>
        </is>
      </c>
      <c r="H10406" s="3" t="inlineStr">
        <is>
          <t>농림지역</t>
        </is>
      </c>
      <c r="I10406" s="3" t="inlineStr">
        <is>
          <t>답</t>
        </is>
      </c>
      <c r="J10406" s="3" t="inlineStr">
        <is>
          <t>연동면</t>
        </is>
      </c>
    </row>
    <row r="10407">
      <c r="A10407" s="3" t="n">
        <v>2023</v>
      </c>
      <c r="B10407" s="4" t="n">
        <v>16490</v>
      </c>
      <c r="C10407" s="4" t="n">
        <v>776.5</v>
      </c>
      <c r="D10407" s="4" t="n">
        <v>234.89125</v>
      </c>
      <c r="E10407" s="5" t="n">
        <v>70.2</v>
      </c>
      <c r="F10407" s="3" t="inlineStr">
        <is>
          <t>연동면</t>
        </is>
      </c>
      <c r="G10407" s="3" t="inlineStr">
        <is>
          <t>응암리</t>
        </is>
      </c>
      <c r="H10407" s="3" t="inlineStr">
        <is>
          <t>농림지역</t>
        </is>
      </c>
      <c r="I10407" s="3" t="inlineStr">
        <is>
          <t>답</t>
        </is>
      </c>
      <c r="J10407" s="3" t="inlineStr">
        <is>
          <t>연동면</t>
        </is>
      </c>
    </row>
    <row r="10408">
      <c r="A10408" s="3" t="n">
        <v>2023</v>
      </c>
      <c r="B10408" s="4" t="n">
        <v>27060</v>
      </c>
      <c r="C10408" s="4" t="n">
        <v>600</v>
      </c>
      <c r="D10408" s="4" t="n">
        <v>181.5</v>
      </c>
      <c r="E10408" s="5" t="n">
        <v>149.1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대</t>
        </is>
      </c>
      <c r="J10408" s="3" t="inlineStr">
        <is>
          <t>전의면</t>
        </is>
      </c>
    </row>
    <row r="10409">
      <c r="A10409" s="3" t="n">
        <v>2023</v>
      </c>
      <c r="B10409" s="4" t="n">
        <v>13640</v>
      </c>
      <c r="C10409" s="4" t="n">
        <v>500</v>
      </c>
      <c r="D10409" s="4" t="n">
        <v>151.25</v>
      </c>
      <c r="E10409" s="5" t="n">
        <v>90.2</v>
      </c>
      <c r="F10409" s="3" t="inlineStr">
        <is>
          <t>전의면</t>
        </is>
      </c>
      <c r="G10409" s="3" t="inlineStr">
        <is>
          <t>서정리</t>
        </is>
      </c>
      <c r="H10409" s="3" t="inlineStr">
        <is>
          <t>계획관리지역</t>
        </is>
      </c>
      <c r="I10409" s="3" t="inlineStr">
        <is>
          <t>대</t>
        </is>
      </c>
      <c r="J10409" s="3" t="inlineStr">
        <is>
          <t>전의면</t>
        </is>
      </c>
    </row>
    <row r="10410">
      <c r="A10410" s="3" t="n">
        <v>2023</v>
      </c>
      <c r="B10410" s="4" t="n">
        <v>13640</v>
      </c>
      <c r="C10410" s="4" t="n">
        <v>500</v>
      </c>
      <c r="D10410" s="4" t="n">
        <v>151.25</v>
      </c>
      <c r="E10410" s="5" t="n">
        <v>90.2</v>
      </c>
      <c r="F10410" s="3" t="inlineStr">
        <is>
          <t>전의면</t>
        </is>
      </c>
      <c r="G10410" s="3" t="inlineStr">
        <is>
          <t>서정리</t>
        </is>
      </c>
      <c r="H10410" s="3" t="inlineStr">
        <is>
          <t>계획관리지역</t>
        </is>
      </c>
      <c r="I10410" s="3" t="inlineStr">
        <is>
          <t>대</t>
        </is>
      </c>
      <c r="J10410" s="3" t="inlineStr">
        <is>
          <t>전의면</t>
        </is>
      </c>
    </row>
    <row r="10411">
      <c r="A10411" s="3" t="n">
        <v>2023</v>
      </c>
      <c r="B10411" s="4" t="n">
        <v>10932</v>
      </c>
      <c r="C10411" s="4" t="n">
        <v>245</v>
      </c>
      <c r="D10411" s="4" t="n">
        <v>74.1125</v>
      </c>
      <c r="E10411" s="5" t="n">
        <v>147.5</v>
      </c>
      <c r="F10411" s="3" t="inlineStr">
        <is>
          <t>전의면</t>
        </is>
      </c>
      <c r="G10411" s="3" t="inlineStr">
        <is>
          <t>읍내리</t>
        </is>
      </c>
      <c r="H10411" s="3" t="inlineStr">
        <is>
          <t>제1종일반주거지역</t>
        </is>
      </c>
      <c r="I10411" s="3" t="inlineStr">
        <is>
          <t>대</t>
        </is>
      </c>
      <c r="J10411" s="3" t="inlineStr">
        <is>
          <t>전의면</t>
        </is>
      </c>
    </row>
    <row r="10412">
      <c r="A10412" s="3" t="n">
        <v>2023</v>
      </c>
      <c r="B10412" s="4" t="n">
        <v>4510</v>
      </c>
      <c r="C10412" s="4" t="n">
        <v>208</v>
      </c>
      <c r="D10412" s="4" t="n">
        <v>62.92</v>
      </c>
      <c r="E10412" s="5" t="n">
        <v>71.7</v>
      </c>
      <c r="F10412" s="3" t="inlineStr">
        <is>
          <t>연동면</t>
        </is>
      </c>
      <c r="G10412" s="3" t="inlineStr">
        <is>
          <t>문주리</t>
        </is>
      </c>
      <c r="H10412" s="3" t="inlineStr">
        <is>
          <t>계획관리지역</t>
        </is>
      </c>
      <c r="I10412" s="3" t="inlineStr">
        <is>
          <t>대</t>
        </is>
      </c>
      <c r="J10412" s="3" t="inlineStr">
        <is>
          <t>연동면</t>
        </is>
      </c>
    </row>
    <row r="10413">
      <c r="A10413" s="3" t="n">
        <v>2023</v>
      </c>
      <c r="B10413" s="4" t="n">
        <v>2390</v>
      </c>
      <c r="C10413" s="4" t="n">
        <v>109</v>
      </c>
      <c r="D10413" s="4" t="n">
        <v>32.9725</v>
      </c>
      <c r="E10413" s="5" t="n">
        <v>72.5</v>
      </c>
      <c r="F10413" s="3" t="inlineStr">
        <is>
          <t>연동면</t>
        </is>
      </c>
      <c r="G10413" s="3" t="inlineStr">
        <is>
          <t>문주리</t>
        </is>
      </c>
      <c r="H10413" s="3" t="inlineStr">
        <is>
          <t>계획관리지역</t>
        </is>
      </c>
      <c r="I10413" s="3" t="inlineStr">
        <is>
          <t>대</t>
        </is>
      </c>
      <c r="J10413" s="3" t="inlineStr">
        <is>
          <t>연동면</t>
        </is>
      </c>
    </row>
    <row r="10414">
      <c r="A10414" s="3" t="n">
        <v>2023</v>
      </c>
      <c r="B10414" s="4" t="n">
        <v>15000</v>
      </c>
      <c r="C10414" s="4" t="n">
        <v>550</v>
      </c>
      <c r="D10414" s="4" t="n">
        <v>166.375</v>
      </c>
      <c r="E10414" s="5" t="n">
        <v>90.2</v>
      </c>
      <c r="F10414" s="3" t="inlineStr">
        <is>
          <t>전의면</t>
        </is>
      </c>
      <c r="G10414" s="3" t="inlineStr">
        <is>
          <t>서정리</t>
        </is>
      </c>
      <c r="H10414" s="3" t="inlineStr">
        <is>
          <t>계획관리지역</t>
        </is>
      </c>
      <c r="I10414" s="3" t="inlineStr">
        <is>
          <t>대</t>
        </is>
      </c>
      <c r="J10414" s="3" t="inlineStr">
        <is>
          <t>전의면</t>
        </is>
      </c>
    </row>
    <row r="10415">
      <c r="A10415" s="3" t="n">
        <v>2022</v>
      </c>
      <c r="B10415" s="4" t="n">
        <v>12200</v>
      </c>
      <c r="C10415" s="4" t="n">
        <v>1322</v>
      </c>
      <c r="D10415" s="4" t="n">
        <v>399.905</v>
      </c>
      <c r="E10415" s="5" t="n">
        <v>30.5</v>
      </c>
      <c r="F10415" s="3" t="inlineStr">
        <is>
          <t>유구읍</t>
        </is>
      </c>
      <c r="G10415" s="3" t="inlineStr">
        <is>
          <t>석남리</t>
        </is>
      </c>
      <c r="H10415" s="3" t="inlineStr">
        <is>
          <t>계획관리지역</t>
        </is>
      </c>
      <c r="I10415" s="3" t="inlineStr">
        <is>
          <t>답</t>
        </is>
      </c>
      <c r="J10415" s="3" t="inlineStr">
        <is>
          <t>유구읍</t>
        </is>
      </c>
    </row>
    <row r="10416">
      <c r="A10416" s="3" t="n">
        <v>2025</v>
      </c>
      <c r="B10416" s="4" t="n">
        <v>750</v>
      </c>
      <c r="C10416" s="4" t="n">
        <v>830</v>
      </c>
      <c r="D10416" s="4" t="n">
        <v>251.075</v>
      </c>
      <c r="E10416" s="5" t="n">
        <v>3</v>
      </c>
      <c r="F10416" s="3" t="inlineStr">
        <is>
          <t>용호동</t>
        </is>
      </c>
      <c r="G10416" s="3" t="inlineStr"/>
      <c r="H10416" s="3" t="inlineStr">
        <is>
          <t>개발제한구역</t>
        </is>
      </c>
      <c r="I10416" s="3" t="inlineStr">
        <is>
          <t>전</t>
        </is>
      </c>
      <c r="J10416" s="3" t="inlineStr">
        <is>
          <t>용호동</t>
        </is>
      </c>
    </row>
    <row r="10417">
      <c r="A10417" s="3" t="n">
        <v>2025</v>
      </c>
      <c r="B10417" s="4" t="n">
        <v>33600</v>
      </c>
      <c r="C10417" s="4" t="n">
        <v>816</v>
      </c>
      <c r="D10417" s="4" t="n">
        <v>246.84</v>
      </c>
      <c r="E10417" s="5" t="n">
        <v>136.1</v>
      </c>
      <c r="F10417" s="3" t="inlineStr">
        <is>
          <t>부강면</t>
        </is>
      </c>
      <c r="G10417" s="3" t="inlineStr">
        <is>
          <t>금호리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부강면</t>
        </is>
      </c>
    </row>
    <row r="10418">
      <c r="A10418" s="3" t="n">
        <v>2025</v>
      </c>
      <c r="B10418" s="4" t="n">
        <v>37000</v>
      </c>
      <c r="C10418" s="4" t="n">
        <v>2083</v>
      </c>
      <c r="D10418" s="4" t="n">
        <v>630.1075</v>
      </c>
      <c r="E10418" s="5" t="n">
        <v>58.7</v>
      </c>
      <c r="F10418" s="3" t="inlineStr">
        <is>
          <t>금남면</t>
        </is>
      </c>
      <c r="G10418" s="3" t="inlineStr">
        <is>
          <t>용담리</t>
        </is>
      </c>
      <c r="H10418" s="3" t="inlineStr">
        <is>
          <t>개발제한구역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2025</v>
      </c>
      <c r="B10419" s="4" t="n">
        <v>46200</v>
      </c>
      <c r="C10419" s="4" t="n">
        <v>1952</v>
      </c>
      <c r="D10419" s="4" t="n">
        <v>590.48</v>
      </c>
      <c r="E10419" s="5" t="n">
        <v>78.2</v>
      </c>
      <c r="F10419" s="3" t="inlineStr">
        <is>
          <t>전동면</t>
        </is>
      </c>
      <c r="G10419" s="3" t="inlineStr">
        <is>
          <t>송정리</t>
        </is>
      </c>
      <c r="H10419" s="3" t="inlineStr">
        <is>
          <t>농림지역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2025</v>
      </c>
      <c r="B10420" s="4" t="n">
        <v>43800</v>
      </c>
      <c r="C10420" s="4" t="n">
        <v>1850</v>
      </c>
      <c r="D10420" s="4" t="n">
        <v>559.625</v>
      </c>
      <c r="E10420" s="5" t="n">
        <v>78.3</v>
      </c>
      <c r="F10420" s="3" t="inlineStr">
        <is>
          <t>전동면</t>
        </is>
      </c>
      <c r="G10420" s="3" t="inlineStr">
        <is>
          <t>송정리</t>
        </is>
      </c>
      <c r="H10420" s="3" t="inlineStr">
        <is>
          <t>농림지역</t>
        </is>
      </c>
      <c r="I10420" s="3" t="inlineStr">
        <is>
          <t>답</t>
        </is>
      </c>
      <c r="J10420" s="3" t="inlineStr">
        <is>
          <t>전동면</t>
        </is>
      </c>
    </row>
    <row r="10421">
      <c r="A10421" s="3" t="n">
        <v>2025</v>
      </c>
      <c r="B10421" s="4" t="n">
        <v>16300</v>
      </c>
      <c r="C10421" s="4" t="n">
        <v>534</v>
      </c>
      <c r="D10421" s="4" t="n">
        <v>161.535</v>
      </c>
      <c r="E10421" s="5" t="n">
        <v>100.9</v>
      </c>
      <c r="F10421" s="3" t="inlineStr">
        <is>
          <t>부강면</t>
        </is>
      </c>
      <c r="G10421" s="3" t="inlineStr">
        <is>
          <t>금호리</t>
        </is>
      </c>
      <c r="H10421" s="3" t="inlineStr">
        <is>
          <t>생산관리지역</t>
        </is>
      </c>
      <c r="I10421" s="3" t="inlineStr">
        <is>
          <t>답</t>
        </is>
      </c>
      <c r="J10421" s="3" t="inlineStr">
        <is>
          <t>부강면</t>
        </is>
      </c>
    </row>
    <row r="10422">
      <c r="A10422" s="3" t="n">
        <v>2025</v>
      </c>
      <c r="B10422" s="4" t="n">
        <v>73700</v>
      </c>
      <c r="C10422" s="4" t="n">
        <v>2410</v>
      </c>
      <c r="D10422" s="4" t="n">
        <v>729.025</v>
      </c>
      <c r="E10422" s="5" t="n">
        <v>101.1</v>
      </c>
      <c r="F10422" s="3" t="inlineStr">
        <is>
          <t>부강면</t>
        </is>
      </c>
      <c r="G10422" s="3" t="inlineStr">
        <is>
          <t>금호리</t>
        </is>
      </c>
      <c r="H10422" s="3" t="inlineStr">
        <is>
          <t>생산관리지역</t>
        </is>
      </c>
      <c r="I10422" s="3" t="inlineStr">
        <is>
          <t>답</t>
        </is>
      </c>
      <c r="J10422" s="3" t="inlineStr">
        <is>
          <t>부강면</t>
        </is>
      </c>
    </row>
    <row r="10423">
      <c r="A10423" s="3" t="n">
        <v>2025</v>
      </c>
      <c r="B10423" s="4" t="n">
        <v>40000</v>
      </c>
      <c r="C10423" s="4" t="n">
        <v>11163</v>
      </c>
      <c r="D10423" s="4" t="n">
        <v>3376.8075</v>
      </c>
      <c r="E10423" s="5" t="n">
        <v>11.8</v>
      </c>
      <c r="F10423" s="3" t="inlineStr">
        <is>
          <t>연서면</t>
        </is>
      </c>
      <c r="G10423" s="3" t="inlineStr">
        <is>
          <t>기룡리</t>
        </is>
      </c>
      <c r="H10423" s="3" t="inlineStr">
        <is>
          <t>생산관리지역</t>
        </is>
      </c>
      <c r="I10423" s="3" t="inlineStr">
        <is>
          <t>임야</t>
        </is>
      </c>
      <c r="J10423" s="3" t="inlineStr">
        <is>
          <t>연서면</t>
        </is>
      </c>
    </row>
    <row r="10424">
      <c r="A10424" s="3" t="n">
        <v>2025</v>
      </c>
      <c r="B10424" s="4" t="n">
        <v>20956</v>
      </c>
      <c r="C10424" s="4" t="n">
        <v>1116</v>
      </c>
      <c r="D10424" s="4" t="n">
        <v>337.59</v>
      </c>
      <c r="E10424" s="5" t="n">
        <v>62.1</v>
      </c>
      <c r="F10424" s="3" t="inlineStr">
        <is>
          <t>소정면</t>
        </is>
      </c>
      <c r="G10424" s="3" t="inlineStr">
        <is>
          <t>대곡리</t>
        </is>
      </c>
      <c r="H10424" s="3" t="inlineStr">
        <is>
          <t>계획관리지역</t>
        </is>
      </c>
      <c r="I10424" s="3" t="inlineStr">
        <is>
          <t>목장용지</t>
        </is>
      </c>
      <c r="J10424" s="3" t="inlineStr">
        <is>
          <t>소정면</t>
        </is>
      </c>
    </row>
    <row r="10425">
      <c r="A10425" s="3" t="n">
        <v>2025</v>
      </c>
      <c r="B10425" s="4" t="n">
        <v>10000</v>
      </c>
      <c r="C10425" s="4" t="n">
        <v>10915</v>
      </c>
      <c r="D10425" s="4" t="n">
        <v>3301.7875</v>
      </c>
      <c r="E10425" s="5" t="n">
        <v>3</v>
      </c>
      <c r="F10425" s="3" t="inlineStr">
        <is>
          <t>조치원읍</t>
        </is>
      </c>
      <c r="G10425" s="3" t="inlineStr">
        <is>
          <t>신안리</t>
        </is>
      </c>
      <c r="H10425" s="3" t="inlineStr">
        <is>
          <t>보전녹지지역</t>
        </is>
      </c>
      <c r="I10425" s="3" t="inlineStr">
        <is>
          <t>임야</t>
        </is>
      </c>
      <c r="J10425" s="3" t="inlineStr">
        <is>
          <t>조치원읍</t>
        </is>
      </c>
    </row>
    <row r="10426">
      <c r="A10426" s="3" t="n">
        <v>2025</v>
      </c>
      <c r="B10426" s="4" t="n">
        <v>34500</v>
      </c>
      <c r="C10426" s="4" t="n">
        <v>538</v>
      </c>
      <c r="D10426" s="4" t="n">
        <v>162.745</v>
      </c>
      <c r="E10426" s="5" t="n">
        <v>212</v>
      </c>
      <c r="F10426" s="3" t="inlineStr">
        <is>
          <t>장군면</t>
        </is>
      </c>
      <c r="G10426" s="3" t="inlineStr">
        <is>
          <t>송문리</t>
        </is>
      </c>
      <c r="H10426" s="3" t="inlineStr">
        <is>
          <t>농림지역</t>
        </is>
      </c>
      <c r="I10426" s="3" t="inlineStr">
        <is>
          <t>잡종지</t>
        </is>
      </c>
      <c r="J10426" s="3" t="inlineStr">
        <is>
          <t>장군면</t>
        </is>
      </c>
    </row>
    <row r="10427">
      <c r="A10427" s="3" t="n">
        <v>2025</v>
      </c>
      <c r="B10427" s="4" t="n">
        <v>16273</v>
      </c>
      <c r="C10427" s="4" t="n">
        <v>280</v>
      </c>
      <c r="D10427" s="4" t="n">
        <v>84.7</v>
      </c>
      <c r="E10427" s="5" t="n">
        <v>192.1</v>
      </c>
      <c r="F10427" s="3" t="inlineStr">
        <is>
          <t>전의면</t>
        </is>
      </c>
      <c r="G10427" s="3" t="inlineStr">
        <is>
          <t>신방리</t>
        </is>
      </c>
      <c r="H10427" s="3" t="inlineStr">
        <is>
          <t>계획관리지역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2025</v>
      </c>
      <c r="B10428" s="4" t="n">
        <v>40000</v>
      </c>
      <c r="C10428" s="4" t="n">
        <v>11163</v>
      </c>
      <c r="D10428" s="4" t="n">
        <v>3376.8075</v>
      </c>
      <c r="E10428" s="5" t="n">
        <v>11.8</v>
      </c>
      <c r="F10428" s="3" t="inlineStr">
        <is>
          <t>연서면</t>
        </is>
      </c>
      <c r="G10428" s="3" t="inlineStr">
        <is>
          <t>기룡리</t>
        </is>
      </c>
      <c r="H10428" s="3" t="inlineStr">
        <is>
          <t>생산관리지역</t>
        </is>
      </c>
      <c r="I10428" s="3" t="inlineStr">
        <is>
          <t>임야</t>
        </is>
      </c>
      <c r="J10428" s="3" t="inlineStr">
        <is>
          <t>연서면</t>
        </is>
      </c>
    </row>
    <row r="10429">
      <c r="A10429" s="3" t="n">
        <v>2025</v>
      </c>
      <c r="B10429" s="4" t="n">
        <v>9996</v>
      </c>
      <c r="C10429" s="4" t="n">
        <v>172</v>
      </c>
      <c r="D10429" s="4" t="n">
        <v>52.03</v>
      </c>
      <c r="E10429" s="5" t="n">
        <v>192.1</v>
      </c>
      <c r="F10429" s="3" t="inlineStr">
        <is>
          <t>전의면</t>
        </is>
      </c>
      <c r="G10429" s="3" t="inlineStr">
        <is>
          <t>신방리</t>
        </is>
      </c>
      <c r="H10429" s="3" t="inlineStr">
        <is>
          <t>계획관리지역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2025</v>
      </c>
      <c r="B10430" s="4" t="n">
        <v>26250</v>
      </c>
      <c r="C10430" s="4" t="n">
        <v>451</v>
      </c>
      <c r="D10430" s="4" t="n">
        <v>136.4275</v>
      </c>
      <c r="E10430" s="5" t="n">
        <v>192.4</v>
      </c>
      <c r="F10430" s="3" t="inlineStr">
        <is>
          <t>전의면</t>
        </is>
      </c>
      <c r="G10430" s="3" t="inlineStr">
        <is>
          <t>신방리</t>
        </is>
      </c>
      <c r="H10430" s="3" t="inlineStr">
        <is>
          <t>계획관리지역</t>
        </is>
      </c>
      <c r="I10430" s="3" t="inlineStr">
        <is>
          <t>임야</t>
        </is>
      </c>
      <c r="J10430" s="3" t="inlineStr">
        <is>
          <t>전의면</t>
        </is>
      </c>
    </row>
    <row r="10431">
      <c r="A10431" s="3" t="n">
        <v>2025</v>
      </c>
      <c r="B10431" s="4" t="n">
        <v>223000</v>
      </c>
      <c r="C10431" s="4" t="n">
        <v>8335</v>
      </c>
      <c r="D10431" s="4" t="n">
        <v>2521.3375</v>
      </c>
      <c r="E10431" s="5" t="n">
        <v>88.40000000000001</v>
      </c>
      <c r="F10431" s="3" t="inlineStr">
        <is>
          <t>장군면</t>
        </is>
      </c>
      <c r="G10431" s="3" t="inlineStr">
        <is>
          <t>금암리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장군면</t>
        </is>
      </c>
    </row>
    <row r="10432">
      <c r="A10432" s="3" t="n">
        <v>2025</v>
      </c>
      <c r="B10432" s="4" t="n">
        <v>53000</v>
      </c>
      <c r="C10432" s="4" t="n">
        <v>1726</v>
      </c>
      <c r="D10432" s="4" t="n">
        <v>522.115</v>
      </c>
      <c r="E10432" s="5" t="n">
        <v>101.5</v>
      </c>
      <c r="F10432" s="3" t="inlineStr">
        <is>
          <t>연서면</t>
        </is>
      </c>
      <c r="G10432" s="3" t="inlineStr">
        <is>
          <t>봉암리</t>
        </is>
      </c>
      <c r="H10432" s="3" t="inlineStr">
        <is>
          <t>농림지역</t>
        </is>
      </c>
      <c r="I10432" s="3" t="inlineStr">
        <is>
          <t>목장용지</t>
        </is>
      </c>
      <c r="J10432" s="3" t="inlineStr">
        <is>
          <t>연서면</t>
        </is>
      </c>
    </row>
    <row r="10433">
      <c r="A10433" s="3" t="n">
        <v>2024</v>
      </c>
      <c r="B10433" s="4" t="n">
        <v>800</v>
      </c>
      <c r="C10433" s="4" t="n">
        <v>136</v>
      </c>
      <c r="D10433" s="4" t="n">
        <v>41.14</v>
      </c>
      <c r="E10433" s="5" t="n">
        <v>19.4</v>
      </c>
      <c r="F10433" s="3" t="inlineStr">
        <is>
          <t>유구읍</t>
        </is>
      </c>
      <c r="G10433" s="3" t="inlineStr">
        <is>
          <t>추계리</t>
        </is>
      </c>
      <c r="H10433" s="3" t="inlineStr">
        <is>
          <t>계획관리지역</t>
        </is>
      </c>
      <c r="I10433" s="3" t="inlineStr">
        <is>
          <t>답</t>
        </is>
      </c>
      <c r="J10433" s="3" t="inlineStr">
        <is>
          <t>유구읍</t>
        </is>
      </c>
    </row>
    <row r="10434">
      <c r="A10434" s="3" t="n">
        <v>2022</v>
      </c>
      <c r="B10434" s="4" t="n">
        <v>351577</v>
      </c>
      <c r="C10434" s="4" t="n">
        <v>6613.1</v>
      </c>
      <c r="D10434" s="4" t="n">
        <v>2000.46275</v>
      </c>
      <c r="E10434" s="5" t="n">
        <v>175.7</v>
      </c>
      <c r="F10434" s="3" t="inlineStr">
        <is>
          <t>전동면</t>
        </is>
      </c>
      <c r="G10434" s="3" t="inlineStr">
        <is>
          <t>심중리</t>
        </is>
      </c>
      <c r="H10434" s="3" t="inlineStr">
        <is>
          <t>일반공업지역</t>
        </is>
      </c>
      <c r="I10434" s="3" t="inlineStr">
        <is>
          <t>공장용지</t>
        </is>
      </c>
      <c r="J10434" s="3" t="inlineStr">
        <is>
          <t>전동면</t>
        </is>
      </c>
    </row>
    <row r="10435">
      <c r="A10435" s="3" t="n">
        <v>2022</v>
      </c>
      <c r="B10435" s="4" t="n">
        <v>614928</v>
      </c>
      <c r="C10435" s="4" t="n">
        <v>13221.6</v>
      </c>
      <c r="D10435" s="4" t="n">
        <v>3999.534</v>
      </c>
      <c r="E10435" s="5" t="n">
        <v>153.7</v>
      </c>
      <c r="F10435" s="3" t="inlineStr">
        <is>
          <t>전동면</t>
        </is>
      </c>
      <c r="G10435" s="3" t="inlineStr">
        <is>
          <t>심중리</t>
        </is>
      </c>
      <c r="H10435" s="3" t="inlineStr">
        <is>
          <t>일반공업지역</t>
        </is>
      </c>
      <c r="I10435" s="3" t="inlineStr">
        <is>
          <t>공장용지</t>
        </is>
      </c>
      <c r="J10435" s="3" t="inlineStr">
        <is>
          <t>전동면</t>
        </is>
      </c>
    </row>
    <row r="10436">
      <c r="A10436" s="3" t="n">
        <v>2022</v>
      </c>
      <c r="B10436" s="4" t="n">
        <v>52930</v>
      </c>
      <c r="C10436" s="4" t="n">
        <v>33650</v>
      </c>
      <c r="D10436" s="4" t="n">
        <v>10179.125</v>
      </c>
      <c r="E10436" s="5" t="n">
        <v>5.2</v>
      </c>
      <c r="F10436" s="3" t="inlineStr">
        <is>
          <t>부강면</t>
        </is>
      </c>
      <c r="G10436" s="3" t="inlineStr">
        <is>
          <t>등곡리</t>
        </is>
      </c>
      <c r="H10436" s="3" t="inlineStr">
        <is>
          <t>농림지역</t>
        </is>
      </c>
      <c r="I10436" s="3" t="inlineStr">
        <is>
          <t>임야</t>
        </is>
      </c>
      <c r="J10436" s="3" t="inlineStr">
        <is>
          <t>부강면</t>
        </is>
      </c>
    </row>
    <row r="10437">
      <c r="A10437" s="3" t="n">
        <v>2022</v>
      </c>
      <c r="B10437" s="4" t="n">
        <v>57600</v>
      </c>
      <c r="C10437" s="4" t="n">
        <v>2646</v>
      </c>
      <c r="D10437" s="4" t="n">
        <v>800.415</v>
      </c>
      <c r="E10437" s="5" t="n">
        <v>72</v>
      </c>
      <c r="F10437" s="3" t="inlineStr">
        <is>
          <t>연동면</t>
        </is>
      </c>
      <c r="G10437" s="3" t="inlineStr">
        <is>
          <t>송용리</t>
        </is>
      </c>
      <c r="H10437" s="3" t="inlineStr">
        <is>
          <t>제2종일반주거지역</t>
        </is>
      </c>
      <c r="I10437" s="3" t="inlineStr">
        <is>
          <t>답</t>
        </is>
      </c>
      <c r="J10437" s="3" t="inlineStr">
        <is>
          <t>연동면</t>
        </is>
      </c>
    </row>
    <row r="10438">
      <c r="A10438" s="3" t="n">
        <v>2022</v>
      </c>
      <c r="B10438" s="4" t="n">
        <v>21630</v>
      </c>
      <c r="C10438" s="4" t="n">
        <v>311</v>
      </c>
      <c r="D10438" s="4" t="n">
        <v>94.0775</v>
      </c>
      <c r="E10438" s="5" t="n">
        <v>229.9</v>
      </c>
      <c r="F10438" s="3" t="inlineStr">
        <is>
          <t>금남면</t>
        </is>
      </c>
      <c r="G10438" s="3" t="inlineStr">
        <is>
          <t>달전리</t>
        </is>
      </c>
      <c r="H10438" s="3" t="inlineStr">
        <is>
          <t>제1종일반주거지역</t>
        </is>
      </c>
      <c r="I10438" s="3" t="inlineStr">
        <is>
          <t>답</t>
        </is>
      </c>
      <c r="J10438" s="3" t="inlineStr">
        <is>
          <t>금남면</t>
        </is>
      </c>
    </row>
    <row r="10439">
      <c r="A10439" s="3" t="n">
        <v>2022</v>
      </c>
      <c r="B10439" s="4" t="n">
        <v>30950</v>
      </c>
      <c r="C10439" s="4" t="n">
        <v>445</v>
      </c>
      <c r="D10439" s="4" t="n">
        <v>134.6125</v>
      </c>
      <c r="E10439" s="5" t="n">
        <v>229.9</v>
      </c>
      <c r="F10439" s="3" t="inlineStr">
        <is>
          <t>금남면</t>
        </is>
      </c>
      <c r="G10439" s="3" t="inlineStr">
        <is>
          <t>달전리</t>
        </is>
      </c>
      <c r="H10439" s="3" t="inlineStr">
        <is>
          <t>제1종일반주거지역</t>
        </is>
      </c>
      <c r="I10439" s="3" t="inlineStr">
        <is>
          <t>답</t>
        </is>
      </c>
      <c r="J10439" s="3" t="inlineStr">
        <is>
          <t>금남면</t>
        </is>
      </c>
    </row>
    <row r="10440">
      <c r="A10440" s="3" t="n">
        <v>2022</v>
      </c>
      <c r="B10440" s="4" t="n">
        <v>7720</v>
      </c>
      <c r="C10440" s="4" t="n">
        <v>111</v>
      </c>
      <c r="D10440" s="4" t="n">
        <v>33.5775</v>
      </c>
      <c r="E10440" s="5" t="n">
        <v>229.9</v>
      </c>
      <c r="F10440" s="3" t="inlineStr">
        <is>
          <t>금남면</t>
        </is>
      </c>
      <c r="G10440" s="3" t="inlineStr">
        <is>
          <t>달전리</t>
        </is>
      </c>
      <c r="H10440" s="3" t="inlineStr">
        <is>
          <t>제1종일반주거지역</t>
        </is>
      </c>
      <c r="I10440" s="3" t="inlineStr">
        <is>
          <t>답</t>
        </is>
      </c>
      <c r="J10440" s="3" t="inlineStr">
        <is>
          <t>금남면</t>
        </is>
      </c>
    </row>
    <row r="10441">
      <c r="A10441" s="3" t="n">
        <v>2022</v>
      </c>
      <c r="B10441" s="4" t="n">
        <v>41760</v>
      </c>
      <c r="C10441" s="4" t="n">
        <v>6901</v>
      </c>
      <c r="D10441" s="4" t="n">
        <v>2087.5525</v>
      </c>
      <c r="E10441" s="5" t="n">
        <v>20</v>
      </c>
      <c r="F10441" s="3" t="inlineStr">
        <is>
          <t>연서면</t>
        </is>
      </c>
      <c r="G10441" s="3" t="inlineStr">
        <is>
          <t>쌍류리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연서면</t>
        </is>
      </c>
    </row>
    <row r="10442">
      <c r="A10442" s="3" t="n">
        <v>2022</v>
      </c>
      <c r="B10442" s="4" t="n">
        <v>3350</v>
      </c>
      <c r="C10442" s="4" t="n">
        <v>223</v>
      </c>
      <c r="D10442" s="4" t="n">
        <v>67.4575</v>
      </c>
      <c r="E10442" s="5" t="n">
        <v>49.7</v>
      </c>
      <c r="F10442" s="3" t="inlineStr">
        <is>
          <t>연서면</t>
        </is>
      </c>
      <c r="G10442" s="3" t="inlineStr">
        <is>
          <t>쌍류리</t>
        </is>
      </c>
      <c r="H10442" s="3" t="inlineStr">
        <is>
          <t>보전관리지역</t>
        </is>
      </c>
      <c r="I10442" s="3" t="inlineStr">
        <is>
          <t>임야</t>
        </is>
      </c>
      <c r="J10442" s="3" t="inlineStr">
        <is>
          <t>연서면</t>
        </is>
      </c>
    </row>
    <row r="10443">
      <c r="A10443" s="3" t="n">
        <v>2022</v>
      </c>
      <c r="B10443" s="4" t="n">
        <v>43200</v>
      </c>
      <c r="C10443" s="4" t="n">
        <v>1785</v>
      </c>
      <c r="D10443" s="4" t="n">
        <v>539.9625</v>
      </c>
      <c r="E10443" s="5" t="n">
        <v>80</v>
      </c>
      <c r="F10443" s="3" t="inlineStr">
        <is>
          <t>연서면</t>
        </is>
      </c>
      <c r="G10443" s="3" t="inlineStr">
        <is>
          <t>쌍류리</t>
        </is>
      </c>
      <c r="H10443" s="3" t="inlineStr">
        <is>
          <t>계획관리지역</t>
        </is>
      </c>
      <c r="I10443" s="3" t="inlineStr">
        <is>
          <t>대</t>
        </is>
      </c>
      <c r="J10443" s="3" t="inlineStr">
        <is>
          <t>연서면</t>
        </is>
      </c>
    </row>
    <row r="10444">
      <c r="A10444" s="3" t="n">
        <v>2022</v>
      </c>
      <c r="B10444" s="4" t="n">
        <v>24720</v>
      </c>
      <c r="C10444" s="4" t="n">
        <v>1021</v>
      </c>
      <c r="D10444" s="4" t="n">
        <v>308.8525</v>
      </c>
      <c r="E10444" s="5" t="n">
        <v>80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계획관리지역</t>
        </is>
      </c>
      <c r="I10444" s="3" t="inlineStr">
        <is>
          <t>대</t>
        </is>
      </c>
      <c r="J10444" s="3" t="inlineStr">
        <is>
          <t>연서면</t>
        </is>
      </c>
    </row>
    <row r="10445">
      <c r="A10445" s="3" t="n">
        <v>2022</v>
      </c>
      <c r="B10445" s="4" t="n">
        <v>8640</v>
      </c>
      <c r="C10445" s="4" t="n">
        <v>357</v>
      </c>
      <c r="D10445" s="4" t="n">
        <v>107.9925</v>
      </c>
      <c r="E10445" s="5" t="n">
        <v>80</v>
      </c>
      <c r="F10445" s="3" t="inlineStr">
        <is>
          <t>연서면</t>
        </is>
      </c>
      <c r="G10445" s="3" t="inlineStr">
        <is>
          <t>쌍류리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연서면</t>
        </is>
      </c>
    </row>
    <row r="10446">
      <c r="A10446" s="3" t="n">
        <v>2023</v>
      </c>
      <c r="B10446" s="4" t="n">
        <v>9204</v>
      </c>
      <c r="C10446" s="4" t="n">
        <v>156</v>
      </c>
      <c r="D10446" s="4" t="n">
        <v>47.19</v>
      </c>
      <c r="E10446" s="5" t="n">
        <v>195</v>
      </c>
      <c r="F10446" s="3" t="inlineStr">
        <is>
          <t>금남면</t>
        </is>
      </c>
      <c r="G10446" s="3" t="inlineStr">
        <is>
          <t>도남리</t>
        </is>
      </c>
      <c r="H10446" s="3" t="inlineStr">
        <is>
          <t>계획관리지역</t>
        </is>
      </c>
      <c r="I10446" s="3" t="inlineStr">
        <is>
          <t>답</t>
        </is>
      </c>
      <c r="J10446" s="3" t="inlineStr">
        <is>
          <t>금남면</t>
        </is>
      </c>
    </row>
    <row r="10447">
      <c r="A10447" s="3" t="n">
        <v>2023</v>
      </c>
      <c r="B10447" s="4" t="n">
        <v>41831</v>
      </c>
      <c r="C10447" s="4" t="n">
        <v>709</v>
      </c>
      <c r="D10447" s="4" t="n">
        <v>214.4725</v>
      </c>
      <c r="E10447" s="5" t="n">
        <v>195</v>
      </c>
      <c r="F10447" s="3" t="inlineStr">
        <is>
          <t>금남면</t>
        </is>
      </c>
      <c r="G10447" s="3" t="inlineStr">
        <is>
          <t>도남리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금남면</t>
        </is>
      </c>
    </row>
    <row r="10448">
      <c r="A10448" s="3" t="n">
        <v>2023</v>
      </c>
      <c r="B10448" s="4" t="n">
        <v>13400</v>
      </c>
      <c r="C10448" s="4" t="n">
        <v>9</v>
      </c>
      <c r="D10448" s="4" t="n">
        <v>2.7225</v>
      </c>
      <c r="E10448" s="5" t="n">
        <v>4921.9</v>
      </c>
      <c r="F10448" s="3" t="inlineStr">
        <is>
          <t>전의면</t>
        </is>
      </c>
      <c r="G10448" s="3" t="inlineStr">
        <is>
          <t>서정리</t>
        </is>
      </c>
      <c r="H10448" s="3" t="inlineStr">
        <is>
          <t>계획관리지역</t>
        </is>
      </c>
      <c r="I10448" s="3" t="inlineStr">
        <is>
          <t>대</t>
        </is>
      </c>
      <c r="J10448" s="3" t="inlineStr">
        <is>
          <t>전의면</t>
        </is>
      </c>
    </row>
    <row r="10449">
      <c r="A10449" s="3" t="n">
        <v>2023</v>
      </c>
      <c r="B10449" s="4" t="n">
        <v>240</v>
      </c>
      <c r="C10449" s="4" t="n">
        <v>491</v>
      </c>
      <c r="D10449" s="4" t="n">
        <v>148.5275</v>
      </c>
      <c r="E10449" s="5" t="n">
        <v>1.6</v>
      </c>
      <c r="F10449" s="3" t="inlineStr">
        <is>
          <t>전의면</t>
        </is>
      </c>
      <c r="G10449" s="3" t="inlineStr">
        <is>
          <t>서정리</t>
        </is>
      </c>
      <c r="H10449" s="3" t="inlineStr">
        <is>
          <t>농림지역</t>
        </is>
      </c>
      <c r="I10449" s="3" t="inlineStr">
        <is>
          <t>대</t>
        </is>
      </c>
      <c r="J10449" s="3" t="inlineStr">
        <is>
          <t>전의면</t>
        </is>
      </c>
    </row>
    <row r="10450">
      <c r="A10450" s="3" t="n">
        <v>2023</v>
      </c>
      <c r="B10450" s="4" t="n">
        <v>4326</v>
      </c>
      <c r="C10450" s="4" t="n">
        <v>940</v>
      </c>
      <c r="D10450" s="4" t="n">
        <v>284.35</v>
      </c>
      <c r="E10450" s="5" t="n">
        <v>15.2</v>
      </c>
      <c r="F10450" s="3" t="inlineStr">
        <is>
          <t>전의면</t>
        </is>
      </c>
      <c r="G10450" s="3" t="inlineStr">
        <is>
          <t>유천리</t>
        </is>
      </c>
      <c r="H10450" s="3" t="inlineStr">
        <is>
          <t>농림지역</t>
        </is>
      </c>
      <c r="I10450" s="3" t="inlineStr">
        <is>
          <t>전</t>
        </is>
      </c>
      <c r="J10450" s="3" t="inlineStr">
        <is>
          <t>전의면</t>
        </is>
      </c>
    </row>
    <row r="10451">
      <c r="A10451" s="3" t="n">
        <v>2023</v>
      </c>
      <c r="B10451" s="4" t="n">
        <v>16674</v>
      </c>
      <c r="C10451" s="4" t="n">
        <v>3623</v>
      </c>
      <c r="D10451" s="4" t="n">
        <v>1095.9575</v>
      </c>
      <c r="E10451" s="5" t="n">
        <v>15.2</v>
      </c>
      <c r="F10451" s="3" t="inlineStr">
        <is>
          <t>전의면</t>
        </is>
      </c>
      <c r="G10451" s="3" t="inlineStr">
        <is>
          <t>유천리</t>
        </is>
      </c>
      <c r="H10451" s="3" t="inlineStr">
        <is>
          <t>농림지역</t>
        </is>
      </c>
      <c r="I10451" s="3" t="inlineStr">
        <is>
          <t>답</t>
        </is>
      </c>
      <c r="J10451" s="3" t="inlineStr">
        <is>
          <t>전의면</t>
        </is>
      </c>
    </row>
    <row r="10452">
      <c r="A10452" s="3" t="n">
        <v>2023</v>
      </c>
      <c r="B10452" s="4" t="n">
        <v>35040</v>
      </c>
      <c r="C10452" s="4" t="n">
        <v>3620</v>
      </c>
      <c r="D10452" s="4" t="n">
        <v>1095.05</v>
      </c>
      <c r="E10452" s="5" t="n">
        <v>32</v>
      </c>
      <c r="F10452" s="3" t="inlineStr">
        <is>
          <t>금남면</t>
        </is>
      </c>
      <c r="G10452" s="3" t="inlineStr">
        <is>
          <t>성강리</t>
        </is>
      </c>
      <c r="H10452" s="3" t="inlineStr">
        <is>
          <t>보전관리지역</t>
        </is>
      </c>
      <c r="I10452" s="3" t="inlineStr">
        <is>
          <t>전</t>
        </is>
      </c>
      <c r="J10452" s="3" t="inlineStr">
        <is>
          <t>금남면</t>
        </is>
      </c>
    </row>
    <row r="10453">
      <c r="A10453" s="3" t="n">
        <v>2023</v>
      </c>
      <c r="B10453" s="4" t="n">
        <v>12000</v>
      </c>
      <c r="C10453" s="4" t="n">
        <v>1240</v>
      </c>
      <c r="D10453" s="4" t="n">
        <v>375.1</v>
      </c>
      <c r="E10453" s="5" t="n">
        <v>32</v>
      </c>
      <c r="F10453" s="3" t="inlineStr">
        <is>
          <t>금남면</t>
        </is>
      </c>
      <c r="G10453" s="3" t="inlineStr">
        <is>
          <t>성강리</t>
        </is>
      </c>
      <c r="H10453" s="3" t="inlineStr">
        <is>
          <t>보전관리지역</t>
        </is>
      </c>
      <c r="I10453" s="3" t="inlineStr">
        <is>
          <t>전</t>
        </is>
      </c>
      <c r="J10453" s="3" t="inlineStr">
        <is>
          <t>금남면</t>
        </is>
      </c>
    </row>
    <row r="10454">
      <c r="A10454" s="3" t="n">
        <v>2023</v>
      </c>
      <c r="B10454" s="4" t="n">
        <v>30000</v>
      </c>
      <c r="C10454" s="4" t="n">
        <v>2182</v>
      </c>
      <c r="D10454" s="4" t="n">
        <v>660.0549999999999</v>
      </c>
      <c r="E10454" s="5" t="n">
        <v>45.5</v>
      </c>
      <c r="F10454" s="3" t="inlineStr">
        <is>
          <t>연서면</t>
        </is>
      </c>
      <c r="G10454" s="3" t="inlineStr">
        <is>
          <t>봉암리</t>
        </is>
      </c>
      <c r="H10454" s="3" t="inlineStr">
        <is>
          <t>농림지역</t>
        </is>
      </c>
      <c r="I10454" s="3" t="inlineStr">
        <is>
          <t>답</t>
        </is>
      </c>
      <c r="J10454" s="3" t="inlineStr">
        <is>
          <t>연서면</t>
        </is>
      </c>
    </row>
    <row r="10455">
      <c r="A10455" s="3" t="n">
        <v>2023</v>
      </c>
      <c r="B10455" s="4" t="n">
        <v>18900</v>
      </c>
      <c r="C10455" s="4" t="n">
        <v>417</v>
      </c>
      <c r="D10455" s="4" t="n">
        <v>126.1425</v>
      </c>
      <c r="E10455" s="5" t="n">
        <v>149.8</v>
      </c>
      <c r="F10455" s="3" t="inlineStr">
        <is>
          <t>전의면</t>
        </is>
      </c>
      <c r="G10455" s="3" t="inlineStr">
        <is>
          <t>서정리</t>
        </is>
      </c>
      <c r="H10455" s="3" t="inlineStr">
        <is>
          <t>계획관리지역</t>
        </is>
      </c>
      <c r="I10455" s="3" t="inlineStr">
        <is>
          <t>대</t>
        </is>
      </c>
      <c r="J10455" s="3" t="inlineStr">
        <is>
          <t>전의면</t>
        </is>
      </c>
    </row>
    <row r="10456">
      <c r="A10456" s="3" t="n">
        <v>2023</v>
      </c>
      <c r="B10456" s="4" t="n">
        <v>3760</v>
      </c>
      <c r="C10456" s="4" t="n">
        <v>83</v>
      </c>
      <c r="D10456" s="4" t="n">
        <v>25.1075</v>
      </c>
      <c r="E10456" s="5" t="n">
        <v>149.8</v>
      </c>
      <c r="F10456" s="3" t="inlineStr">
        <is>
          <t>전의면</t>
        </is>
      </c>
      <c r="G10456" s="3" t="inlineStr">
        <is>
          <t>서정리</t>
        </is>
      </c>
      <c r="H10456" s="3" t="inlineStr">
        <is>
          <t>계획관리지역</t>
        </is>
      </c>
      <c r="I10456" s="3" t="inlineStr">
        <is>
          <t>대</t>
        </is>
      </c>
      <c r="J10456" s="3" t="inlineStr">
        <is>
          <t>전의면</t>
        </is>
      </c>
    </row>
    <row r="10457">
      <c r="A10457" s="3" t="n">
        <v>2023</v>
      </c>
      <c r="B10457" s="4" t="n">
        <v>14000</v>
      </c>
      <c r="C10457" s="4" t="n">
        <v>671</v>
      </c>
      <c r="D10457" s="4" t="n">
        <v>202.9775</v>
      </c>
      <c r="E10457" s="5" t="n">
        <v>69</v>
      </c>
      <c r="F10457" s="3" t="inlineStr">
        <is>
          <t>장군면</t>
        </is>
      </c>
      <c r="G10457" s="3" t="inlineStr">
        <is>
          <t>대교리</t>
        </is>
      </c>
      <c r="H10457" s="3" t="inlineStr">
        <is>
          <t>농림지역</t>
        </is>
      </c>
      <c r="I10457" s="3" t="inlineStr">
        <is>
          <t>전</t>
        </is>
      </c>
      <c r="J10457" s="3" t="inlineStr">
        <is>
          <t>장군면</t>
        </is>
      </c>
    </row>
    <row r="10458">
      <c r="A10458" s="3" t="n">
        <v>2023</v>
      </c>
      <c r="B10458" s="4" t="n">
        <v>9236</v>
      </c>
      <c r="C10458" s="4" t="n">
        <v>340</v>
      </c>
      <c r="D10458" s="4" t="n">
        <v>102.85</v>
      </c>
      <c r="E10458" s="5" t="n">
        <v>89.8</v>
      </c>
      <c r="F10458" s="3" t="inlineStr">
        <is>
          <t>전의면</t>
        </is>
      </c>
      <c r="G10458" s="3" t="inlineStr">
        <is>
          <t>서정리</t>
        </is>
      </c>
      <c r="H10458" s="3" t="inlineStr">
        <is>
          <t>계획관리지역</t>
        </is>
      </c>
      <c r="I10458" s="3" t="inlineStr">
        <is>
          <t>대</t>
        </is>
      </c>
      <c r="J10458" s="3" t="inlineStr">
        <is>
          <t>전의면</t>
        </is>
      </c>
    </row>
    <row r="10459">
      <c r="A10459" s="3" t="n">
        <v>2023</v>
      </c>
      <c r="B10459" s="4" t="n">
        <v>5704</v>
      </c>
      <c r="C10459" s="4" t="n">
        <v>210</v>
      </c>
      <c r="D10459" s="4" t="n">
        <v>63.525</v>
      </c>
      <c r="E10459" s="5" t="n">
        <v>89.8</v>
      </c>
      <c r="F10459" s="3" t="inlineStr">
        <is>
          <t>전의면</t>
        </is>
      </c>
      <c r="G10459" s="3" t="inlineStr">
        <is>
          <t>서정리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전의면</t>
        </is>
      </c>
    </row>
    <row r="10460">
      <c r="A10460" s="3" t="n">
        <v>2023</v>
      </c>
      <c r="B10460" s="4" t="n">
        <v>9760</v>
      </c>
      <c r="C10460" s="4" t="n">
        <v>608</v>
      </c>
      <c r="D10460" s="4" t="n">
        <v>183.92</v>
      </c>
      <c r="E10460" s="5" t="n">
        <v>53.1</v>
      </c>
      <c r="F10460" s="3" t="inlineStr">
        <is>
          <t>전동면</t>
        </is>
      </c>
      <c r="G10460" s="3" t="inlineStr">
        <is>
          <t>보덕리</t>
        </is>
      </c>
      <c r="H10460" s="3" t="inlineStr">
        <is>
          <t>농림지역</t>
        </is>
      </c>
      <c r="I10460" s="3" t="inlineStr">
        <is>
          <t>전</t>
        </is>
      </c>
      <c r="J10460" s="3" t="inlineStr">
        <is>
          <t>전동면</t>
        </is>
      </c>
    </row>
    <row r="10461">
      <c r="A10461" s="3" t="n">
        <v>2023</v>
      </c>
      <c r="B10461" s="4" t="n">
        <v>1200</v>
      </c>
      <c r="C10461" s="4" t="n">
        <v>65</v>
      </c>
      <c r="D10461" s="4" t="n">
        <v>19.6625</v>
      </c>
      <c r="E10461" s="5" t="n">
        <v>61</v>
      </c>
      <c r="F10461" s="3" t="inlineStr">
        <is>
          <t>전의면</t>
        </is>
      </c>
      <c r="G10461" s="3" t="inlineStr">
        <is>
          <t>관정리</t>
        </is>
      </c>
      <c r="H10461" s="3" t="inlineStr">
        <is>
          <t>계획관리지역</t>
        </is>
      </c>
      <c r="I10461" s="3" t="inlineStr">
        <is>
          <t>공장용지</t>
        </is>
      </c>
      <c r="J10461" s="3" t="inlineStr">
        <is>
          <t>전의면</t>
        </is>
      </c>
    </row>
    <row r="10462">
      <c r="A10462" s="3" t="n">
        <v>2023</v>
      </c>
      <c r="B10462" s="4" t="n">
        <v>53000</v>
      </c>
      <c r="C10462" s="4" t="n">
        <v>1752</v>
      </c>
      <c r="D10462" s="4" t="n">
        <v>529.98</v>
      </c>
      <c r="E10462" s="5" t="n">
        <v>100</v>
      </c>
      <c r="F10462" s="3" t="inlineStr">
        <is>
          <t>전의면</t>
        </is>
      </c>
      <c r="G10462" s="3" t="inlineStr">
        <is>
          <t>달전리</t>
        </is>
      </c>
      <c r="H10462" s="3" t="inlineStr">
        <is>
          <t>계획관리지역</t>
        </is>
      </c>
      <c r="I10462" s="3" t="inlineStr">
        <is>
          <t>답</t>
        </is>
      </c>
      <c r="J10462" s="3" t="inlineStr">
        <is>
          <t>전의면</t>
        </is>
      </c>
    </row>
    <row r="10463">
      <c r="A10463" s="3" t="n">
        <v>2022</v>
      </c>
      <c r="B10463" s="4" t="n">
        <v>9558</v>
      </c>
      <c r="C10463" s="4" t="n">
        <v>665</v>
      </c>
      <c r="D10463" s="4" t="n">
        <v>201.1625</v>
      </c>
      <c r="E10463" s="5" t="n">
        <v>47.5</v>
      </c>
      <c r="F10463" s="3" t="inlineStr">
        <is>
          <t>연서면</t>
        </is>
      </c>
      <c r="G10463" s="3" t="inlineStr">
        <is>
          <t>신대리</t>
        </is>
      </c>
      <c r="H10463" s="3" t="inlineStr">
        <is>
          <t>계획관리지역</t>
        </is>
      </c>
      <c r="I10463" s="3" t="inlineStr">
        <is>
          <t>답</t>
        </is>
      </c>
      <c r="J10463" s="3" t="inlineStr">
        <is>
          <t>연서면</t>
        </is>
      </c>
    </row>
    <row r="10464">
      <c r="A10464" s="3" t="n">
        <v>2023</v>
      </c>
      <c r="B10464" s="4" t="n">
        <v>42900</v>
      </c>
      <c r="C10464" s="4" t="n">
        <v>2384</v>
      </c>
      <c r="D10464" s="4" t="n">
        <v>721.16</v>
      </c>
      <c r="E10464" s="5" t="n">
        <v>59.5</v>
      </c>
      <c r="F10464" s="3" t="inlineStr">
        <is>
          <t>전의면</t>
        </is>
      </c>
      <c r="G10464" s="3" t="inlineStr">
        <is>
          <t>관정리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전의면</t>
        </is>
      </c>
    </row>
    <row r="10465">
      <c r="A10465" s="3" t="n">
        <v>2025</v>
      </c>
      <c r="B10465" s="4" t="n">
        <v>10827</v>
      </c>
      <c r="C10465" s="4" t="n">
        <v>374</v>
      </c>
      <c r="D10465" s="4" t="n">
        <v>113.135</v>
      </c>
      <c r="E10465" s="5" t="n">
        <v>95.7</v>
      </c>
      <c r="F10465" s="3" t="inlineStr">
        <is>
          <t>부강면</t>
        </is>
      </c>
      <c r="G10465" s="3" t="inlineStr">
        <is>
          <t>산수리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2025</v>
      </c>
      <c r="B10466" s="4" t="n">
        <v>3000</v>
      </c>
      <c r="C10466" s="4" t="n">
        <v>366</v>
      </c>
      <c r="D10466" s="4" t="n">
        <v>110.715</v>
      </c>
      <c r="E10466" s="5" t="n">
        <v>27.1</v>
      </c>
      <c r="F10466" s="3" t="inlineStr">
        <is>
          <t>전동면</t>
        </is>
      </c>
      <c r="G10466" s="3" t="inlineStr">
        <is>
          <t>송성리</t>
        </is>
      </c>
      <c r="H10466" s="3" t="inlineStr">
        <is>
          <t>계획관리지역</t>
        </is>
      </c>
      <c r="I10466" s="3" t="inlineStr">
        <is>
          <t>잡종지</t>
        </is>
      </c>
      <c r="J10466" s="3" t="inlineStr">
        <is>
          <t>전동면</t>
        </is>
      </c>
    </row>
    <row r="10467">
      <c r="A10467" s="3" t="n">
        <v>2026</v>
      </c>
      <c r="B10467" s="4" t="n">
        <v>30435</v>
      </c>
      <c r="C10467" s="4" t="n">
        <v>1549</v>
      </c>
      <c r="D10467" s="4" t="n">
        <v>468.5725</v>
      </c>
      <c r="E10467" s="5" t="n">
        <v>65</v>
      </c>
      <c r="F10467" s="3" t="inlineStr">
        <is>
          <t>금남면</t>
        </is>
      </c>
      <c r="G10467" s="3" t="inlineStr">
        <is>
          <t>달전리</t>
        </is>
      </c>
      <c r="H10467" s="3" t="inlineStr">
        <is>
          <t>개발제한구역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2026</v>
      </c>
      <c r="B10468" s="4" t="n">
        <v>36765</v>
      </c>
      <c r="C10468" s="4" t="n">
        <v>2701</v>
      </c>
      <c r="D10468" s="4" t="n">
        <v>817.0525</v>
      </c>
      <c r="E10468" s="5" t="n">
        <v>45</v>
      </c>
      <c r="F10468" s="3" t="inlineStr">
        <is>
          <t>금남면</t>
        </is>
      </c>
      <c r="G10468" s="3" t="inlineStr">
        <is>
          <t>원봉리</t>
        </is>
      </c>
      <c r="H10468" s="3" t="inlineStr">
        <is>
          <t>농림지역</t>
        </is>
      </c>
      <c r="I10468" s="3" t="inlineStr">
        <is>
          <t>답</t>
        </is>
      </c>
      <c r="J10468" s="3" t="inlineStr">
        <is>
          <t>금남면</t>
        </is>
      </c>
    </row>
    <row r="10469">
      <c r="A10469" s="3" t="n">
        <v>2026</v>
      </c>
      <c r="B10469" s="4" t="n">
        <v>10500</v>
      </c>
      <c r="C10469" s="4" t="n">
        <v>1157</v>
      </c>
      <c r="D10469" s="4" t="n">
        <v>349.9925</v>
      </c>
      <c r="E10469" s="5" t="n">
        <v>30</v>
      </c>
      <c r="F10469" s="3" t="inlineStr">
        <is>
          <t>전동면</t>
        </is>
      </c>
      <c r="G10469" s="3" t="inlineStr">
        <is>
          <t>봉대리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전동면</t>
        </is>
      </c>
    </row>
    <row r="10470">
      <c r="A10470" s="3" t="n">
        <v>2026</v>
      </c>
      <c r="B10470" s="4" t="n">
        <v>45000</v>
      </c>
      <c r="C10470" s="4" t="n">
        <v>4934</v>
      </c>
      <c r="D10470" s="4" t="n">
        <v>1492.535</v>
      </c>
      <c r="E10470" s="5" t="n">
        <v>30.2</v>
      </c>
      <c r="F10470" s="3" t="inlineStr">
        <is>
          <t>전의면</t>
        </is>
      </c>
      <c r="G10470" s="3" t="inlineStr">
        <is>
          <t>달전리</t>
        </is>
      </c>
      <c r="H10470" s="3" t="inlineStr">
        <is>
          <t>보전관리지역</t>
        </is>
      </c>
      <c r="I10470" s="3" t="inlineStr">
        <is>
          <t>전</t>
        </is>
      </c>
      <c r="J10470" s="3" t="inlineStr">
        <is>
          <t>전의면</t>
        </is>
      </c>
    </row>
    <row r="10471">
      <c r="A10471" s="3" t="n">
        <v>2025</v>
      </c>
      <c r="B10471" s="4" t="n">
        <v>1250</v>
      </c>
      <c r="C10471" s="4" t="n">
        <v>496</v>
      </c>
      <c r="D10471" s="4" t="n">
        <v>150.04</v>
      </c>
      <c r="E10471" s="5" t="n">
        <v>8.300000000000001</v>
      </c>
      <c r="F10471" s="3" t="inlineStr">
        <is>
          <t>용호동</t>
        </is>
      </c>
      <c r="G10471" s="3" t="inlineStr"/>
      <c r="H10471" s="3" t="inlineStr">
        <is>
          <t>개발제한구역</t>
        </is>
      </c>
      <c r="I10471" s="3" t="inlineStr">
        <is>
          <t>전</t>
        </is>
      </c>
      <c r="J10471" s="3" t="inlineStr">
        <is>
          <t>용호동</t>
        </is>
      </c>
    </row>
    <row r="10472">
      <c r="A10472" s="3" t="n">
        <v>2026</v>
      </c>
      <c r="B10472" s="4" t="n">
        <v>32800</v>
      </c>
      <c r="C10472" s="4" t="n">
        <v>573</v>
      </c>
      <c r="D10472" s="4" t="n">
        <v>173.3325</v>
      </c>
      <c r="E10472" s="5" t="n">
        <v>189.2</v>
      </c>
      <c r="F10472" s="3" t="inlineStr">
        <is>
          <t>금남면</t>
        </is>
      </c>
      <c r="G10472" s="3" t="inlineStr">
        <is>
          <t>남곡리</t>
        </is>
      </c>
      <c r="H10472" s="3" t="inlineStr">
        <is>
          <t>개발제한구역</t>
        </is>
      </c>
      <c r="I10472" s="3" t="inlineStr">
        <is>
          <t>대</t>
        </is>
      </c>
      <c r="J10472" s="3" t="inlineStr">
        <is>
          <t>금남면</t>
        </is>
      </c>
    </row>
    <row r="10473">
      <c r="A10473" s="3" t="n">
        <v>2026</v>
      </c>
      <c r="B10473" s="4" t="n">
        <v>1400</v>
      </c>
      <c r="C10473" s="4" t="n">
        <v>25</v>
      </c>
      <c r="D10473" s="4" t="n">
        <v>7.5625</v>
      </c>
      <c r="E10473" s="5" t="n">
        <v>185.1</v>
      </c>
      <c r="F10473" s="3" t="inlineStr">
        <is>
          <t>금남면</t>
        </is>
      </c>
      <c r="G10473" s="3" t="inlineStr">
        <is>
          <t>남곡리</t>
        </is>
      </c>
      <c r="H10473" s="3" t="inlineStr">
        <is>
          <t>개발제한구역</t>
        </is>
      </c>
      <c r="I10473" s="3" t="inlineStr">
        <is>
          <t>대</t>
        </is>
      </c>
      <c r="J10473" s="3" t="inlineStr">
        <is>
          <t>금남면</t>
        </is>
      </c>
    </row>
    <row r="10474">
      <c r="A10474" s="3" t="n">
        <v>2022</v>
      </c>
      <c r="B10474" s="4" t="n">
        <v>7153</v>
      </c>
      <c r="C10474" s="4" t="n">
        <v>272</v>
      </c>
      <c r="D10474" s="4" t="n">
        <v>82.28</v>
      </c>
      <c r="E10474" s="5" t="n">
        <v>86.90000000000001</v>
      </c>
      <c r="F10474" s="3" t="inlineStr">
        <is>
          <t>용호동</t>
        </is>
      </c>
      <c r="G10474" s="3" t="inlineStr"/>
      <c r="H10474" s="3" t="inlineStr">
        <is>
          <t>자연녹지지역</t>
        </is>
      </c>
      <c r="I10474" s="3" t="inlineStr">
        <is>
          <t>답</t>
        </is>
      </c>
      <c r="J10474" s="3" t="inlineStr">
        <is>
          <t>용호동</t>
        </is>
      </c>
    </row>
    <row r="10475">
      <c r="A10475" s="3" t="n">
        <v>2022</v>
      </c>
      <c r="B10475" s="4" t="n">
        <v>447</v>
      </c>
      <c r="C10475" s="4" t="n">
        <v>17</v>
      </c>
      <c r="D10475" s="4" t="n">
        <v>5.1425</v>
      </c>
      <c r="E10475" s="5" t="n">
        <v>86.90000000000001</v>
      </c>
      <c r="F10475" s="3" t="inlineStr">
        <is>
          <t>용호동</t>
        </is>
      </c>
      <c r="G10475" s="3" t="inlineStr"/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용호동</t>
        </is>
      </c>
    </row>
    <row r="10476">
      <c r="A10476" s="3" t="n">
        <v>2024</v>
      </c>
      <c r="B10476" s="4" t="n">
        <v>5500</v>
      </c>
      <c r="C10476" s="4" t="n">
        <v>455</v>
      </c>
      <c r="D10476" s="4" t="n">
        <v>137.6375</v>
      </c>
      <c r="E10476" s="5" t="n">
        <v>40</v>
      </c>
      <c r="F10476" s="3" t="inlineStr">
        <is>
          <t>유구읍</t>
        </is>
      </c>
      <c r="G10476" s="3" t="inlineStr">
        <is>
          <t>문금리</t>
        </is>
      </c>
      <c r="H10476" s="3" t="inlineStr">
        <is>
          <t>계획관리지역</t>
        </is>
      </c>
      <c r="I10476" s="3" t="inlineStr">
        <is>
          <t>답</t>
        </is>
      </c>
      <c r="J10476" s="3" t="inlineStr">
        <is>
          <t>유구읍</t>
        </is>
      </c>
    </row>
    <row r="10477">
      <c r="A10477" s="3" t="n">
        <v>2026</v>
      </c>
      <c r="B10477" s="4" t="n">
        <v>10036</v>
      </c>
      <c r="C10477" s="4" t="n">
        <v>2641</v>
      </c>
      <c r="D10477" s="4" t="n">
        <v>798.9025</v>
      </c>
      <c r="E10477" s="5" t="n">
        <v>12.6</v>
      </c>
      <c r="F10477" s="3" t="inlineStr">
        <is>
          <t>유구읍</t>
        </is>
      </c>
      <c r="G10477" s="3" t="inlineStr">
        <is>
          <t>신달리</t>
        </is>
      </c>
      <c r="H10477" s="3" t="inlineStr">
        <is>
          <t>농림지역</t>
        </is>
      </c>
      <c r="I10477" s="3" t="inlineStr">
        <is>
          <t>답</t>
        </is>
      </c>
      <c r="J10477" s="3" t="inlineStr">
        <is>
          <t>유구읍</t>
        </is>
      </c>
    </row>
    <row r="10478">
      <c r="A10478" s="3" t="n">
        <v>2026</v>
      </c>
      <c r="B10478" s="4" t="n">
        <v>5000</v>
      </c>
      <c r="C10478" s="4" t="n">
        <v>1653</v>
      </c>
      <c r="D10478" s="4" t="n">
        <v>500.0325</v>
      </c>
      <c r="E10478" s="5" t="n">
        <v>10</v>
      </c>
      <c r="F10478" s="3" t="inlineStr">
        <is>
          <t>연기면</t>
        </is>
      </c>
      <c r="G10478" s="3" t="inlineStr">
        <is>
          <t>수산리</t>
        </is>
      </c>
      <c r="H10478" s="3" t="inlineStr">
        <is>
          <t>보전관리지역</t>
        </is>
      </c>
      <c r="I10478" s="3" t="inlineStr">
        <is>
          <t>임야</t>
        </is>
      </c>
      <c r="J10478" s="3" t="inlineStr">
        <is>
          <t>연기면</t>
        </is>
      </c>
    </row>
    <row r="10479">
      <c r="A10479" s="3" t="n">
        <v>2026</v>
      </c>
      <c r="B10479" s="4" t="n">
        <v>2000</v>
      </c>
      <c r="C10479" s="4" t="n">
        <v>79</v>
      </c>
      <c r="D10479" s="4" t="n">
        <v>23.8975</v>
      </c>
      <c r="E10479" s="5" t="n">
        <v>83.7</v>
      </c>
      <c r="F10479" s="3" t="inlineStr">
        <is>
          <t>소정면</t>
        </is>
      </c>
      <c r="G10479" s="3" t="inlineStr">
        <is>
          <t>소정리</t>
        </is>
      </c>
      <c r="H10479" s="3" t="inlineStr">
        <is>
          <t>계획관리지역</t>
        </is>
      </c>
      <c r="I10479" s="3" t="inlineStr">
        <is>
          <t>대</t>
        </is>
      </c>
      <c r="J10479" s="3" t="inlineStr">
        <is>
          <t>소정면</t>
        </is>
      </c>
    </row>
    <row r="10480">
      <c r="A10480" s="3" t="n">
        <v>2026</v>
      </c>
      <c r="B10480" s="4" t="n">
        <v>18100</v>
      </c>
      <c r="C10480" s="4" t="n">
        <v>598</v>
      </c>
      <c r="D10480" s="4" t="n">
        <v>180.895</v>
      </c>
      <c r="E10480" s="5" t="n">
        <v>100.1</v>
      </c>
      <c r="F10480" s="3" t="inlineStr">
        <is>
          <t>전동면</t>
        </is>
      </c>
      <c r="G10480" s="3" t="inlineStr">
        <is>
          <t>송정리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전동면</t>
        </is>
      </c>
    </row>
    <row r="10481">
      <c r="A10481" s="3" t="n">
        <v>2026</v>
      </c>
      <c r="B10481" s="4" t="n">
        <v>57000</v>
      </c>
      <c r="C10481" s="4" t="n">
        <v>466</v>
      </c>
      <c r="D10481" s="4" t="n">
        <v>140.965</v>
      </c>
      <c r="E10481" s="5" t="n">
        <v>404.4</v>
      </c>
      <c r="F10481" s="3" t="inlineStr">
        <is>
          <t>반곡동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반곡동</t>
        </is>
      </c>
    </row>
    <row r="10482">
      <c r="A10482" s="3" t="n">
        <v>2026</v>
      </c>
      <c r="B10482" s="4" t="n">
        <v>29008</v>
      </c>
      <c r="C10482" s="4" t="n">
        <v>1199</v>
      </c>
      <c r="D10482" s="4" t="n">
        <v>362.6975</v>
      </c>
      <c r="E10482" s="5" t="n">
        <v>80</v>
      </c>
      <c r="F10482" s="3" t="inlineStr">
        <is>
          <t>연서면</t>
        </is>
      </c>
      <c r="G10482" s="3" t="inlineStr">
        <is>
          <t>신대리</t>
        </is>
      </c>
      <c r="H10482" s="3" t="inlineStr">
        <is>
          <t>계획관리지역</t>
        </is>
      </c>
      <c r="I10482" s="3" t="inlineStr">
        <is>
          <t>과수원</t>
        </is>
      </c>
      <c r="J10482" s="3" t="inlineStr">
        <is>
          <t>연서면</t>
        </is>
      </c>
    </row>
    <row r="10483">
      <c r="A10483" s="3" t="n">
        <v>2026</v>
      </c>
      <c r="B10483" s="4" t="n">
        <v>4950</v>
      </c>
      <c r="C10483" s="4" t="n">
        <v>1197</v>
      </c>
      <c r="D10483" s="4" t="n">
        <v>362.0925</v>
      </c>
      <c r="E10483" s="5" t="n">
        <v>13.7</v>
      </c>
      <c r="F10483" s="3" t="inlineStr">
        <is>
          <t>금남면</t>
        </is>
      </c>
      <c r="G10483" s="3" t="inlineStr">
        <is>
          <t>영치리</t>
        </is>
      </c>
      <c r="H10483" s="3" t="inlineStr">
        <is>
          <t>개발제한구역</t>
        </is>
      </c>
      <c r="I10483" s="3" t="inlineStr">
        <is>
          <t>전</t>
        </is>
      </c>
      <c r="J10483" s="3" t="inlineStr">
        <is>
          <t>금남면</t>
        </is>
      </c>
    </row>
    <row r="10484">
      <c r="A10484" s="3" t="n">
        <v>2026</v>
      </c>
      <c r="B10484" s="4" t="n">
        <v>450</v>
      </c>
      <c r="C10484" s="4" t="n">
        <v>109</v>
      </c>
      <c r="D10484" s="4" t="n">
        <v>32.9725</v>
      </c>
      <c r="E10484" s="5" t="n">
        <v>13.6</v>
      </c>
      <c r="F10484" s="3" t="inlineStr">
        <is>
          <t>금남면</t>
        </is>
      </c>
      <c r="G10484" s="3" t="inlineStr">
        <is>
          <t>영치리</t>
        </is>
      </c>
      <c r="H10484" s="3" t="inlineStr">
        <is>
          <t>개발제한구역</t>
        </is>
      </c>
      <c r="I10484" s="3" t="inlineStr">
        <is>
          <t>답</t>
        </is>
      </c>
      <c r="J10484" s="3" t="inlineStr">
        <is>
          <t>금남면</t>
        </is>
      </c>
    </row>
    <row r="10485">
      <c r="A10485" s="3" t="n">
        <v>2026</v>
      </c>
      <c r="B10485" s="4" t="n">
        <v>4500</v>
      </c>
      <c r="C10485" s="4" t="n">
        <v>106</v>
      </c>
      <c r="D10485" s="4" t="n">
        <v>32.065</v>
      </c>
      <c r="E10485" s="5" t="n">
        <v>140.3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자연녹지지역</t>
        </is>
      </c>
      <c r="I10485" s="3" t="inlineStr">
        <is>
          <t>대</t>
        </is>
      </c>
      <c r="J10485" s="3" t="inlineStr">
        <is>
          <t>연서면</t>
        </is>
      </c>
    </row>
    <row r="10486">
      <c r="A10486" s="3" t="n">
        <v>2026</v>
      </c>
      <c r="B10486" s="4" t="n">
        <v>24000</v>
      </c>
      <c r="C10486" s="4" t="n">
        <v>539</v>
      </c>
      <c r="D10486" s="4" t="n">
        <v>163.0475</v>
      </c>
      <c r="E10486" s="5" t="n">
        <v>147.2</v>
      </c>
      <c r="F10486" s="3" t="inlineStr">
        <is>
          <t>장군면</t>
        </is>
      </c>
      <c r="G10486" s="3" t="inlineStr">
        <is>
          <t>송문리</t>
        </is>
      </c>
      <c r="H10486" s="3" t="inlineStr">
        <is>
          <t>보전관리지역</t>
        </is>
      </c>
      <c r="I10486" s="3" t="inlineStr">
        <is>
          <t>임야</t>
        </is>
      </c>
      <c r="J10486" s="3" t="inlineStr">
        <is>
          <t>장군면</t>
        </is>
      </c>
    </row>
    <row r="10487">
      <c r="A10487" s="3" t="n">
        <v>2026</v>
      </c>
      <c r="B10487" s="4" t="n">
        <v>6800</v>
      </c>
      <c r="C10487" s="4" t="n">
        <v>1124</v>
      </c>
      <c r="D10487" s="4" t="n">
        <v>340.01</v>
      </c>
      <c r="E10487" s="5" t="n">
        <v>20</v>
      </c>
      <c r="F10487" s="3" t="inlineStr">
        <is>
          <t>부강면</t>
        </is>
      </c>
      <c r="G10487" s="3" t="inlineStr">
        <is>
          <t>행산리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부강면</t>
        </is>
      </c>
    </row>
    <row r="10488">
      <c r="A10488" s="3" t="n">
        <v>2022</v>
      </c>
      <c r="B10488" s="4" t="n">
        <v>500</v>
      </c>
      <c r="C10488" s="4" t="n">
        <v>132</v>
      </c>
      <c r="D10488" s="4" t="n">
        <v>39.93</v>
      </c>
      <c r="E10488" s="5" t="n">
        <v>12.5</v>
      </c>
      <c r="F10488" s="3" t="inlineStr">
        <is>
          <t>유구읍</t>
        </is>
      </c>
      <c r="G10488" s="3" t="inlineStr">
        <is>
          <t>명곡리</t>
        </is>
      </c>
      <c r="H10488" s="3" t="inlineStr">
        <is>
          <t>계획관리지역</t>
        </is>
      </c>
      <c r="I10488" s="3" t="inlineStr">
        <is>
          <t>하천</t>
        </is>
      </c>
      <c r="J10488" s="3" t="inlineStr">
        <is>
          <t>유구읍</t>
        </is>
      </c>
    </row>
    <row r="10489">
      <c r="A10489" s="3" t="n">
        <v>2022</v>
      </c>
      <c r="B10489" s="4" t="n">
        <v>6000</v>
      </c>
      <c r="C10489" s="4" t="n">
        <v>2053</v>
      </c>
      <c r="D10489" s="4" t="n">
        <v>621.0325</v>
      </c>
      <c r="E10489" s="5" t="n">
        <v>9.699999999999999</v>
      </c>
      <c r="F10489" s="3" t="inlineStr">
        <is>
          <t>유구읍</t>
        </is>
      </c>
      <c r="G10489" s="3" t="inlineStr">
        <is>
          <t>동해리</t>
        </is>
      </c>
      <c r="H10489" s="3" t="inlineStr">
        <is>
          <t>생산관리지역</t>
        </is>
      </c>
      <c r="I10489" s="3" t="inlineStr">
        <is>
          <t>답</t>
        </is>
      </c>
      <c r="J10489" s="3" t="inlineStr">
        <is>
          <t>유구읍</t>
        </is>
      </c>
    </row>
    <row r="10490">
      <c r="A10490" s="3" t="n">
        <v>2022</v>
      </c>
      <c r="B10490" s="4" t="n">
        <v>11500</v>
      </c>
      <c r="C10490" s="4" t="n">
        <v>1812</v>
      </c>
      <c r="D10490" s="4" t="n">
        <v>548.13</v>
      </c>
      <c r="E10490" s="5" t="n">
        <v>21</v>
      </c>
      <c r="F10490" s="3" t="inlineStr">
        <is>
          <t>유구읍</t>
        </is>
      </c>
      <c r="G10490" s="3" t="inlineStr">
        <is>
          <t>신달리</t>
        </is>
      </c>
      <c r="H10490" s="3" t="inlineStr">
        <is>
          <t>보전관리지역</t>
        </is>
      </c>
      <c r="I10490" s="3" t="inlineStr">
        <is>
          <t>전</t>
        </is>
      </c>
      <c r="J10490" s="3" t="inlineStr">
        <is>
          <t>유구읍</t>
        </is>
      </c>
    </row>
    <row r="10491">
      <c r="A10491" s="3" t="n">
        <v>2022</v>
      </c>
      <c r="B10491" s="4" t="n">
        <v>7215</v>
      </c>
      <c r="C10491" s="4" t="n">
        <v>477</v>
      </c>
      <c r="D10491" s="4" t="n">
        <v>144.2925</v>
      </c>
      <c r="E10491" s="5" t="n">
        <v>50</v>
      </c>
      <c r="F10491" s="3" t="inlineStr">
        <is>
          <t>연서면</t>
        </is>
      </c>
      <c r="G10491" s="3" t="inlineStr">
        <is>
          <t>신대리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연서면</t>
        </is>
      </c>
    </row>
    <row r="10492">
      <c r="A10492" s="3" t="n">
        <v>2022</v>
      </c>
      <c r="B10492" s="4" t="n">
        <v>8000</v>
      </c>
      <c r="C10492" s="4" t="n">
        <v>1203</v>
      </c>
      <c r="D10492" s="4" t="n">
        <v>363.9075</v>
      </c>
      <c r="E10492" s="5" t="n">
        <v>22</v>
      </c>
      <c r="F10492" s="3" t="inlineStr">
        <is>
          <t>전동면</t>
        </is>
      </c>
      <c r="G10492" s="3" t="inlineStr">
        <is>
          <t>미곡리</t>
        </is>
      </c>
      <c r="H10492" s="3" t="inlineStr">
        <is>
          <t>생산관리지역</t>
        </is>
      </c>
      <c r="I10492" s="3" t="inlineStr">
        <is>
          <t>전</t>
        </is>
      </c>
      <c r="J10492" s="3" t="inlineStr">
        <is>
          <t>전동면</t>
        </is>
      </c>
    </row>
    <row r="10493">
      <c r="A10493" s="3" t="n">
        <v>2022</v>
      </c>
      <c r="B10493" s="4" t="n">
        <v>37700</v>
      </c>
      <c r="C10493" s="4" t="n">
        <v>3117</v>
      </c>
      <c r="D10493" s="4" t="n">
        <v>942.8924999999999</v>
      </c>
      <c r="E10493" s="5" t="n">
        <v>40</v>
      </c>
      <c r="F10493" s="3" t="inlineStr">
        <is>
          <t>전동면</t>
        </is>
      </c>
      <c r="G10493" s="3" t="inlineStr">
        <is>
          <t>미곡리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전동면</t>
        </is>
      </c>
    </row>
    <row r="10494">
      <c r="A10494" s="3" t="n">
        <v>2022</v>
      </c>
      <c r="B10494" s="4" t="n">
        <v>26750</v>
      </c>
      <c r="C10494" s="4" t="n">
        <v>354</v>
      </c>
      <c r="D10494" s="4" t="n">
        <v>107.085</v>
      </c>
      <c r="E10494" s="5" t="n">
        <v>249.8</v>
      </c>
      <c r="F10494" s="3" t="inlineStr">
        <is>
          <t>금남면</t>
        </is>
      </c>
      <c r="G10494" s="3" t="inlineStr">
        <is>
          <t>발산리</t>
        </is>
      </c>
      <c r="H10494" s="3" t="inlineStr">
        <is>
          <t>제1종일반주거지역</t>
        </is>
      </c>
      <c r="I10494" s="3" t="inlineStr">
        <is>
          <t>대</t>
        </is>
      </c>
      <c r="J10494" s="3" t="inlineStr">
        <is>
          <t>금남면</t>
        </is>
      </c>
    </row>
    <row r="10495">
      <c r="A10495" s="3" t="n">
        <v>2022</v>
      </c>
      <c r="B10495" s="4" t="n">
        <v>41000</v>
      </c>
      <c r="C10495" s="4" t="n">
        <v>341</v>
      </c>
      <c r="D10495" s="4" t="n">
        <v>103.1525</v>
      </c>
      <c r="E10495" s="5" t="n">
        <v>397.5</v>
      </c>
      <c r="F10495" s="3" t="inlineStr">
        <is>
          <t>연서면</t>
        </is>
      </c>
      <c r="G10495" s="3" t="inlineStr">
        <is>
          <t>고복리</t>
        </is>
      </c>
      <c r="H10495" s="3" t="inlineStr">
        <is>
          <t>보전관리지역</t>
        </is>
      </c>
      <c r="I10495" s="3" t="inlineStr">
        <is>
          <t>대</t>
        </is>
      </c>
      <c r="J10495" s="3" t="inlineStr">
        <is>
          <t>연서면</t>
        </is>
      </c>
    </row>
    <row r="10496">
      <c r="A10496" s="3" t="n">
        <v>2022</v>
      </c>
      <c r="B10496" s="4" t="n">
        <v>132049</v>
      </c>
      <c r="C10496" s="4" t="n">
        <v>116528</v>
      </c>
      <c r="D10496" s="4" t="n">
        <v>35249.72</v>
      </c>
      <c r="E10496" s="5" t="n">
        <v>3.7</v>
      </c>
      <c r="F10496" s="3" t="inlineStr">
        <is>
          <t>연서면</t>
        </is>
      </c>
      <c r="G10496" s="3" t="inlineStr">
        <is>
          <t>쌍류리</t>
        </is>
      </c>
      <c r="H10496" s="3" t="inlineStr">
        <is>
          <t>농림지역</t>
        </is>
      </c>
      <c r="I10496" s="3" t="inlineStr">
        <is>
          <t>임야</t>
        </is>
      </c>
      <c r="J10496" s="3" t="inlineStr">
        <is>
          <t>연서면</t>
        </is>
      </c>
    </row>
    <row r="10497">
      <c r="A10497" s="3" t="n">
        <v>2022</v>
      </c>
      <c r="B10497" s="4" t="n">
        <v>41760</v>
      </c>
      <c r="C10497" s="4" t="n">
        <v>6901</v>
      </c>
      <c r="D10497" s="4" t="n">
        <v>2087.5525</v>
      </c>
      <c r="E10497" s="5" t="n">
        <v>20</v>
      </c>
      <c r="F10497" s="3" t="inlineStr">
        <is>
          <t>연서면</t>
        </is>
      </c>
      <c r="G10497" s="3" t="inlineStr">
        <is>
          <t>쌍류리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연서면</t>
        </is>
      </c>
    </row>
    <row r="10498">
      <c r="A10498" s="3" t="n">
        <v>2022</v>
      </c>
      <c r="B10498" s="4" t="n">
        <v>3350</v>
      </c>
      <c r="C10498" s="4" t="n">
        <v>223</v>
      </c>
      <c r="D10498" s="4" t="n">
        <v>67.4575</v>
      </c>
      <c r="E10498" s="5" t="n">
        <v>49.7</v>
      </c>
      <c r="F10498" s="3" t="inlineStr">
        <is>
          <t>연서면</t>
        </is>
      </c>
      <c r="G10498" s="3" t="inlineStr">
        <is>
          <t>쌍류리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연서면</t>
        </is>
      </c>
    </row>
    <row r="10499">
      <c r="A10499" s="3" t="n">
        <v>2022</v>
      </c>
      <c r="B10499" s="4" t="n">
        <v>43200</v>
      </c>
      <c r="C10499" s="4" t="n">
        <v>1785</v>
      </c>
      <c r="D10499" s="4" t="n">
        <v>539.9625</v>
      </c>
      <c r="E10499" s="5" t="n">
        <v>80</v>
      </c>
      <c r="F10499" s="3" t="inlineStr">
        <is>
          <t>연서면</t>
        </is>
      </c>
      <c r="G10499" s="3" t="inlineStr">
        <is>
          <t>쌍류리</t>
        </is>
      </c>
      <c r="H10499" s="3" t="inlineStr">
        <is>
          <t>계획관리지역</t>
        </is>
      </c>
      <c r="I10499" s="3" t="inlineStr">
        <is>
          <t>대</t>
        </is>
      </c>
      <c r="J10499" s="3" t="inlineStr">
        <is>
          <t>연서면</t>
        </is>
      </c>
    </row>
    <row r="10500">
      <c r="A10500" s="3" t="n">
        <v>2022</v>
      </c>
      <c r="B10500" s="4" t="n">
        <v>24720</v>
      </c>
      <c r="C10500" s="4" t="n">
        <v>1021</v>
      </c>
      <c r="D10500" s="4" t="n">
        <v>308.8525</v>
      </c>
      <c r="E10500" s="5" t="n">
        <v>80</v>
      </c>
      <c r="F10500" s="3" t="inlineStr">
        <is>
          <t>연서면</t>
        </is>
      </c>
      <c r="G10500" s="3" t="inlineStr">
        <is>
          <t>쌍류리</t>
        </is>
      </c>
      <c r="H10500" s="3" t="inlineStr">
        <is>
          <t>계획관리지역</t>
        </is>
      </c>
      <c r="I10500" s="3" t="inlineStr">
        <is>
          <t>대</t>
        </is>
      </c>
      <c r="J10500" s="3" t="inlineStr">
        <is>
          <t>연서면</t>
        </is>
      </c>
    </row>
    <row r="10501">
      <c r="A10501" s="3" t="n">
        <v>2022</v>
      </c>
      <c r="B10501" s="4" t="n">
        <v>8640</v>
      </c>
      <c r="C10501" s="4" t="n">
        <v>357</v>
      </c>
      <c r="D10501" s="4" t="n">
        <v>107.9925</v>
      </c>
      <c r="E10501" s="5" t="n">
        <v>80</v>
      </c>
      <c r="F10501" s="3" t="inlineStr">
        <is>
          <t>연서면</t>
        </is>
      </c>
      <c r="G10501" s="3" t="inlineStr">
        <is>
          <t>쌍류리</t>
        </is>
      </c>
      <c r="H10501" s="3" t="inlineStr">
        <is>
          <t>계획관리지역</t>
        </is>
      </c>
      <c r="I10501" s="3" t="inlineStr">
        <is>
          <t>대</t>
        </is>
      </c>
      <c r="J10501" s="3" t="inlineStr">
        <is>
          <t>연서면</t>
        </is>
      </c>
    </row>
    <row r="10502">
      <c r="A10502" s="3" t="n">
        <v>2022</v>
      </c>
      <c r="B10502" s="4" t="n">
        <v>374344</v>
      </c>
      <c r="C10502" s="4" t="n">
        <v>10312.5</v>
      </c>
      <c r="D10502" s="4" t="n">
        <v>3119.53125</v>
      </c>
      <c r="E10502" s="5" t="n">
        <v>120</v>
      </c>
      <c r="F10502" s="3" t="inlineStr">
        <is>
          <t>전의면</t>
        </is>
      </c>
      <c r="G10502" s="3" t="inlineStr">
        <is>
          <t>양곡리</t>
        </is>
      </c>
      <c r="H10502" s="3" t="inlineStr">
        <is>
          <t>일반공업지역</t>
        </is>
      </c>
      <c r="I10502" s="3" t="inlineStr">
        <is>
          <t>공장용지</t>
        </is>
      </c>
      <c r="J10502" s="3" t="inlineStr">
        <is>
          <t>전의면</t>
        </is>
      </c>
    </row>
    <row r="10503">
      <c r="A10503" s="3" t="n">
        <v>2022</v>
      </c>
      <c r="B10503" s="4" t="n">
        <v>4266</v>
      </c>
      <c r="C10503" s="4" t="n">
        <v>522</v>
      </c>
      <c r="D10503" s="4" t="n">
        <v>157.905</v>
      </c>
      <c r="E10503" s="5" t="n">
        <v>27</v>
      </c>
      <c r="F10503" s="3" t="inlineStr">
        <is>
          <t>연서면</t>
        </is>
      </c>
      <c r="G10503" s="3" t="inlineStr">
        <is>
          <t>쌍류리</t>
        </is>
      </c>
      <c r="H10503" s="3" t="inlineStr">
        <is>
          <t>보전관리지역</t>
        </is>
      </c>
      <c r="I10503" s="3" t="inlineStr">
        <is>
          <t>전</t>
        </is>
      </c>
      <c r="J10503" s="3" t="inlineStr">
        <is>
          <t>연서면</t>
        </is>
      </c>
    </row>
    <row r="10504">
      <c r="A10504" s="3" t="n">
        <v>2022</v>
      </c>
      <c r="B10504" s="4" t="n">
        <v>3040</v>
      </c>
      <c r="C10504" s="4" t="n">
        <v>504</v>
      </c>
      <c r="D10504" s="4" t="n">
        <v>152.46</v>
      </c>
      <c r="E10504" s="5" t="n">
        <v>19.9</v>
      </c>
      <c r="F10504" s="3" t="inlineStr">
        <is>
          <t>연서면</t>
        </is>
      </c>
      <c r="G10504" s="3" t="inlineStr">
        <is>
          <t>쌍류리</t>
        </is>
      </c>
      <c r="H10504" s="3" t="inlineStr">
        <is>
          <t>보전관리지역</t>
        </is>
      </c>
      <c r="I10504" s="3" t="inlineStr">
        <is>
          <t>전</t>
        </is>
      </c>
      <c r="J10504" s="3" t="inlineStr">
        <is>
          <t>연서면</t>
        </is>
      </c>
    </row>
    <row r="10505">
      <c r="A10505" s="3" t="n">
        <v>2022</v>
      </c>
      <c r="B10505" s="4" t="n">
        <v>30240</v>
      </c>
      <c r="C10505" s="4" t="n">
        <v>1428</v>
      </c>
      <c r="D10505" s="4" t="n">
        <v>431.97</v>
      </c>
      <c r="E10505" s="5" t="n">
        <v>70</v>
      </c>
      <c r="F10505" s="3" t="inlineStr">
        <is>
          <t>연서면</t>
        </is>
      </c>
      <c r="G10505" s="3" t="inlineStr">
        <is>
          <t>쌍류리</t>
        </is>
      </c>
      <c r="H10505" s="3" t="inlineStr">
        <is>
          <t>생산관리지역</t>
        </is>
      </c>
      <c r="I10505" s="3" t="inlineStr">
        <is>
          <t>전</t>
        </is>
      </c>
      <c r="J10505" s="3" t="inlineStr">
        <is>
          <t>연서면</t>
        </is>
      </c>
    </row>
    <row r="10506">
      <c r="A10506" s="3" t="n">
        <v>2022</v>
      </c>
      <c r="B10506" s="4" t="n">
        <v>4580</v>
      </c>
      <c r="C10506" s="4" t="n">
        <v>756</v>
      </c>
      <c r="D10506" s="4" t="n">
        <v>228.69</v>
      </c>
      <c r="E10506" s="5" t="n">
        <v>20</v>
      </c>
      <c r="F10506" s="3" t="inlineStr">
        <is>
          <t>연서면</t>
        </is>
      </c>
      <c r="G10506" s="3" t="inlineStr">
        <is>
          <t>쌍류리</t>
        </is>
      </c>
      <c r="H10506" s="3" t="inlineStr">
        <is>
          <t>보전관리지역</t>
        </is>
      </c>
      <c r="I10506" s="3" t="inlineStr">
        <is>
          <t>전</t>
        </is>
      </c>
      <c r="J10506" s="3" t="inlineStr">
        <is>
          <t>연서면</t>
        </is>
      </c>
    </row>
    <row r="10507">
      <c r="A10507" s="3" t="n">
        <v>2022</v>
      </c>
      <c r="B10507" s="4" t="n">
        <v>2835</v>
      </c>
      <c r="C10507" s="4" t="n">
        <v>346</v>
      </c>
      <c r="D10507" s="4" t="n">
        <v>104.665</v>
      </c>
      <c r="E10507" s="5" t="n">
        <v>27.1</v>
      </c>
      <c r="F10507" s="3" t="inlineStr">
        <is>
          <t>연서면</t>
        </is>
      </c>
      <c r="G10507" s="3" t="inlineStr">
        <is>
          <t>쌍류리</t>
        </is>
      </c>
      <c r="H10507" s="3" t="inlineStr">
        <is>
          <t>보전관리지역</t>
        </is>
      </c>
      <c r="I10507" s="3" t="inlineStr">
        <is>
          <t>전</t>
        </is>
      </c>
      <c r="J10507" s="3" t="inlineStr">
        <is>
          <t>연서면</t>
        </is>
      </c>
    </row>
    <row r="10508">
      <c r="A10508" s="3" t="n">
        <v>2022</v>
      </c>
      <c r="B10508" s="4" t="n">
        <v>11320</v>
      </c>
      <c r="C10508" s="4" t="n">
        <v>1872</v>
      </c>
      <c r="D10508" s="4" t="n">
        <v>566.28</v>
      </c>
      <c r="E10508" s="5" t="n">
        <v>20</v>
      </c>
      <c r="F10508" s="3" t="inlineStr">
        <is>
          <t>연서면</t>
        </is>
      </c>
      <c r="G10508" s="3" t="inlineStr">
        <is>
          <t>쌍류리</t>
        </is>
      </c>
      <c r="H10508" s="3" t="inlineStr">
        <is>
          <t>보전관리지역</t>
        </is>
      </c>
      <c r="I10508" s="3" t="inlineStr">
        <is>
          <t>전</t>
        </is>
      </c>
      <c r="J10508" s="3" t="inlineStr">
        <is>
          <t>연서면</t>
        </is>
      </c>
    </row>
    <row r="10509">
      <c r="A10509" s="3" t="n">
        <v>2022</v>
      </c>
      <c r="B10509" s="4" t="n">
        <v>42826</v>
      </c>
      <c r="C10509" s="4" t="n">
        <v>1445</v>
      </c>
      <c r="D10509" s="4" t="n">
        <v>437.1125</v>
      </c>
      <c r="E10509" s="5" t="n">
        <v>98</v>
      </c>
      <c r="F10509" s="3" t="inlineStr">
        <is>
          <t>금남면</t>
        </is>
      </c>
      <c r="G10509" s="3" t="inlineStr">
        <is>
          <t>원봉리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금남면</t>
        </is>
      </c>
    </row>
    <row r="10510">
      <c r="A10510" s="3" t="n">
        <v>2022</v>
      </c>
      <c r="B10510" s="4" t="n">
        <v>47150</v>
      </c>
      <c r="C10510" s="4" t="n">
        <v>2136</v>
      </c>
      <c r="D10510" s="4" t="n">
        <v>646.14</v>
      </c>
      <c r="E10510" s="5" t="n">
        <v>73</v>
      </c>
      <c r="F10510" s="3" t="inlineStr">
        <is>
          <t>연서면</t>
        </is>
      </c>
      <c r="G10510" s="3" t="inlineStr">
        <is>
          <t>쌍류리</t>
        </is>
      </c>
      <c r="H10510" s="3" t="inlineStr">
        <is>
          <t>생산관리지역</t>
        </is>
      </c>
      <c r="I10510" s="3" t="inlineStr">
        <is>
          <t>답</t>
        </is>
      </c>
      <c r="J10510" s="3" t="inlineStr">
        <is>
          <t>연서면</t>
        </is>
      </c>
    </row>
    <row r="10511">
      <c r="A10511" s="3" t="n">
        <v>2022</v>
      </c>
      <c r="B10511" s="4" t="n">
        <v>45000</v>
      </c>
      <c r="C10511" s="4" t="n">
        <v>1405</v>
      </c>
      <c r="D10511" s="4" t="n">
        <v>425.0125</v>
      </c>
      <c r="E10511" s="5" t="n">
        <v>105.9</v>
      </c>
      <c r="F10511" s="3" t="inlineStr">
        <is>
          <t>장군면</t>
        </is>
      </c>
      <c r="G10511" s="3" t="inlineStr">
        <is>
          <t>대교리</t>
        </is>
      </c>
      <c r="H10511" s="3" t="inlineStr">
        <is>
          <t>농림지역</t>
        </is>
      </c>
      <c r="I10511" s="3" t="inlineStr">
        <is>
          <t>전</t>
        </is>
      </c>
      <c r="J10511" s="3" t="inlineStr">
        <is>
          <t>장군면</t>
        </is>
      </c>
    </row>
    <row r="10512">
      <c r="A10512" s="3" t="n">
        <v>2022</v>
      </c>
      <c r="B10512" s="4" t="n">
        <v>7215</v>
      </c>
      <c r="C10512" s="4" t="n">
        <v>477</v>
      </c>
      <c r="D10512" s="4" t="n">
        <v>144.2925</v>
      </c>
      <c r="E10512" s="5" t="n">
        <v>50</v>
      </c>
      <c r="F10512" s="3" t="inlineStr">
        <is>
          <t>연서면</t>
        </is>
      </c>
      <c r="G10512" s="3" t="inlineStr">
        <is>
          <t>신대리</t>
        </is>
      </c>
      <c r="H10512" s="3" t="inlineStr">
        <is>
          <t>계획관리지역</t>
        </is>
      </c>
      <c r="I10512" s="3" t="inlineStr">
        <is>
          <t>답</t>
        </is>
      </c>
      <c r="J10512" s="3" t="inlineStr">
        <is>
          <t>연서면</t>
        </is>
      </c>
    </row>
    <row r="10513">
      <c r="A10513" s="3" t="n">
        <v>2022</v>
      </c>
      <c r="B10513" s="4" t="n">
        <v>23200</v>
      </c>
      <c r="C10513" s="4" t="n">
        <v>1924</v>
      </c>
      <c r="D10513" s="4" t="n">
        <v>582.01</v>
      </c>
      <c r="E10513" s="5" t="n">
        <v>39.9</v>
      </c>
      <c r="F10513" s="3" t="inlineStr">
        <is>
          <t>전동면</t>
        </is>
      </c>
      <c r="G10513" s="3" t="inlineStr">
        <is>
          <t>청송리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전동면</t>
        </is>
      </c>
    </row>
    <row r="10514">
      <c r="A10514" s="3" t="n">
        <v>2022</v>
      </c>
      <c r="B10514" s="4" t="n">
        <v>9558</v>
      </c>
      <c r="C10514" s="4" t="n">
        <v>665</v>
      </c>
      <c r="D10514" s="4" t="n">
        <v>201.1625</v>
      </c>
      <c r="E10514" s="5" t="n">
        <v>47.5</v>
      </c>
      <c r="F10514" s="3" t="inlineStr">
        <is>
          <t>연서면</t>
        </is>
      </c>
      <c r="G10514" s="3" t="inlineStr">
        <is>
          <t>신대리</t>
        </is>
      </c>
      <c r="H10514" s="3" t="inlineStr">
        <is>
          <t>계획관리지역</t>
        </is>
      </c>
      <c r="I10514" s="3" t="inlineStr">
        <is>
          <t>답</t>
        </is>
      </c>
      <c r="J10514" s="3" t="inlineStr">
        <is>
          <t>연서면</t>
        </is>
      </c>
    </row>
    <row r="10515">
      <c r="A10515" s="3" t="n">
        <v>2022</v>
      </c>
      <c r="B10515" s="4" t="n">
        <v>19459</v>
      </c>
      <c r="C10515" s="4" t="n">
        <v>201</v>
      </c>
      <c r="D10515" s="4" t="n">
        <v>60.80249999999999</v>
      </c>
      <c r="E10515" s="5" t="n">
        <v>320</v>
      </c>
      <c r="F10515" s="3" t="inlineStr">
        <is>
          <t>연서면</t>
        </is>
      </c>
      <c r="G10515" s="3" t="inlineStr">
        <is>
          <t>봉암리</t>
        </is>
      </c>
      <c r="H10515" s="3" t="inlineStr">
        <is>
          <t>계획관리지역</t>
        </is>
      </c>
      <c r="I10515" s="3" t="inlineStr">
        <is>
          <t>전</t>
        </is>
      </c>
      <c r="J10515" s="3" t="inlineStr">
        <is>
          <t>연서면</t>
        </is>
      </c>
    </row>
    <row r="10516">
      <c r="A10516" s="3" t="n">
        <v>2022</v>
      </c>
      <c r="B10516" s="4" t="n">
        <v>1277</v>
      </c>
      <c r="C10516" s="4" t="n">
        <v>18</v>
      </c>
      <c r="D10516" s="4" t="n">
        <v>5.445</v>
      </c>
      <c r="E10516" s="5" t="n">
        <v>234.5</v>
      </c>
      <c r="F10516" s="3" t="inlineStr">
        <is>
          <t>연서면</t>
        </is>
      </c>
      <c r="G10516" s="3" t="inlineStr">
        <is>
          <t>봉암리</t>
        </is>
      </c>
      <c r="H10516" s="3" t="inlineStr">
        <is>
          <t>계획관리지역</t>
        </is>
      </c>
      <c r="I10516" s="3" t="inlineStr">
        <is>
          <t>답</t>
        </is>
      </c>
      <c r="J10516" s="3" t="inlineStr">
        <is>
          <t>연서면</t>
        </is>
      </c>
    </row>
    <row r="10517">
      <c r="A10517" s="3" t="n">
        <v>2022</v>
      </c>
      <c r="B10517" s="4" t="n">
        <v>110374</v>
      </c>
      <c r="C10517" s="4" t="n">
        <v>1144</v>
      </c>
      <c r="D10517" s="4" t="n">
        <v>346.06</v>
      </c>
      <c r="E10517" s="5" t="n">
        <v>318.9</v>
      </c>
      <c r="F10517" s="3" t="inlineStr">
        <is>
          <t>연서면</t>
        </is>
      </c>
      <c r="G10517" s="3" t="inlineStr">
        <is>
          <t>봉암리</t>
        </is>
      </c>
      <c r="H10517" s="3" t="inlineStr">
        <is>
          <t>계획관리지역</t>
        </is>
      </c>
      <c r="I10517" s="3" t="inlineStr">
        <is>
          <t>답</t>
        </is>
      </c>
      <c r="J10517" s="3" t="inlineStr">
        <is>
          <t>연서면</t>
        </is>
      </c>
    </row>
    <row r="10518">
      <c r="A10518" s="3" t="n">
        <v>2022</v>
      </c>
      <c r="B10518" s="4" t="n">
        <v>44900</v>
      </c>
      <c r="C10518" s="4" t="n">
        <v>743</v>
      </c>
      <c r="D10518" s="4" t="n">
        <v>224.7575</v>
      </c>
      <c r="E10518" s="5" t="n">
        <v>199.8</v>
      </c>
      <c r="F10518" s="3" t="inlineStr">
        <is>
          <t>부강면</t>
        </is>
      </c>
      <c r="G10518" s="3" t="inlineStr">
        <is>
          <t>부강리</t>
        </is>
      </c>
      <c r="H10518" s="3" t="inlineStr">
        <is>
          <t>제2종일반주거지역</t>
        </is>
      </c>
      <c r="I10518" s="3" t="inlineStr">
        <is>
          <t>대</t>
        </is>
      </c>
      <c r="J10518" s="3" t="inlineStr">
        <is>
          <t>부강면</t>
        </is>
      </c>
    </row>
    <row r="10519">
      <c r="A10519" s="3" t="n">
        <v>2023</v>
      </c>
      <c r="B10519" s="4" t="n">
        <v>1100</v>
      </c>
      <c r="C10519" s="4" t="n">
        <v>66</v>
      </c>
      <c r="D10519" s="4" t="n">
        <v>19.965</v>
      </c>
      <c r="E10519" s="5" t="n">
        <v>55.1</v>
      </c>
      <c r="F10519" s="3" t="inlineStr">
        <is>
          <t>전의면</t>
        </is>
      </c>
      <c r="G10519" s="3" t="inlineStr">
        <is>
          <t>관정리</t>
        </is>
      </c>
      <c r="H10519" s="3" t="inlineStr">
        <is>
          <t>계획관리지역</t>
        </is>
      </c>
      <c r="I10519" s="3" t="inlineStr">
        <is>
          <t>답</t>
        </is>
      </c>
      <c r="J10519" s="3" t="inlineStr">
        <is>
          <t>전의면</t>
        </is>
      </c>
    </row>
    <row r="10520">
      <c r="A10520" s="3" t="n">
        <v>2023</v>
      </c>
      <c r="B10520" s="4" t="n">
        <v>40000</v>
      </c>
      <c r="C10520" s="4" t="n">
        <v>2162</v>
      </c>
      <c r="D10520" s="4" t="n">
        <v>654.005</v>
      </c>
      <c r="E10520" s="5" t="n">
        <v>61.2</v>
      </c>
      <c r="F10520" s="3" t="inlineStr">
        <is>
          <t>전의면</t>
        </is>
      </c>
      <c r="G10520" s="3" t="inlineStr">
        <is>
          <t>관정리</t>
        </is>
      </c>
      <c r="H10520" s="3" t="inlineStr">
        <is>
          <t>계획관리지역</t>
        </is>
      </c>
      <c r="I10520" s="3" t="inlineStr">
        <is>
          <t>답</t>
        </is>
      </c>
      <c r="J10520" s="3" t="inlineStr">
        <is>
          <t>전의면</t>
        </is>
      </c>
    </row>
    <row r="10521">
      <c r="A10521" s="3" t="n">
        <v>2023</v>
      </c>
      <c r="B10521" s="4" t="n">
        <v>4000</v>
      </c>
      <c r="C10521" s="4" t="n">
        <v>330</v>
      </c>
      <c r="D10521" s="4" t="n">
        <v>99.825</v>
      </c>
      <c r="E10521" s="5" t="n">
        <v>40.1</v>
      </c>
      <c r="F10521" s="3" t="inlineStr">
        <is>
          <t>금남면</t>
        </is>
      </c>
      <c r="G10521" s="3" t="inlineStr">
        <is>
          <t>영대리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금남면</t>
        </is>
      </c>
    </row>
    <row r="10522">
      <c r="A10522" s="3" t="n">
        <v>2023</v>
      </c>
      <c r="B10522" s="4" t="n">
        <v>6370</v>
      </c>
      <c r="C10522" s="4" t="n">
        <v>169</v>
      </c>
      <c r="D10522" s="4" t="n">
        <v>51.1225</v>
      </c>
      <c r="E10522" s="5" t="n">
        <v>124.6</v>
      </c>
      <c r="F10522" s="3" t="inlineStr">
        <is>
          <t>금남면</t>
        </is>
      </c>
      <c r="G10522" s="3" t="inlineStr">
        <is>
          <t>부용리</t>
        </is>
      </c>
      <c r="H10522" s="3" t="inlineStr">
        <is>
          <t>보전관리지역</t>
        </is>
      </c>
      <c r="I10522" s="3" t="inlineStr">
        <is>
          <t>임야</t>
        </is>
      </c>
      <c r="J10522" s="3" t="inlineStr">
        <is>
          <t>금남면</t>
        </is>
      </c>
    </row>
    <row r="10523">
      <c r="A10523" s="3" t="n">
        <v>2023</v>
      </c>
      <c r="B10523" s="4" t="n">
        <v>2500</v>
      </c>
      <c r="C10523" s="4" t="n">
        <v>330</v>
      </c>
      <c r="D10523" s="4" t="n">
        <v>99.825</v>
      </c>
      <c r="E10523" s="5" t="n">
        <v>25</v>
      </c>
      <c r="F10523" s="3" t="inlineStr">
        <is>
          <t>부강면</t>
        </is>
      </c>
      <c r="G10523" s="3" t="inlineStr">
        <is>
          <t>갈산리</t>
        </is>
      </c>
      <c r="H10523" s="3" t="inlineStr">
        <is>
          <t>생산관리지역</t>
        </is>
      </c>
      <c r="I10523" s="3" t="inlineStr">
        <is>
          <t>임야</t>
        </is>
      </c>
      <c r="J10523" s="3" t="inlineStr">
        <is>
          <t>부강면</t>
        </is>
      </c>
    </row>
    <row r="10524">
      <c r="A10524" s="3" t="n">
        <v>2023</v>
      </c>
      <c r="B10524" s="4" t="n">
        <v>1955034</v>
      </c>
      <c r="C10524" s="4" t="n">
        <v>38242.9</v>
      </c>
      <c r="D10524" s="4" t="n">
        <v>11568.47725</v>
      </c>
      <c r="E10524" s="5" t="n">
        <v>169</v>
      </c>
      <c r="F10524" s="3" t="inlineStr">
        <is>
          <t>전동면</t>
        </is>
      </c>
      <c r="G10524" s="3" t="inlineStr">
        <is>
          <t>심중리</t>
        </is>
      </c>
      <c r="H10524" s="3" t="inlineStr">
        <is>
          <t>일반공업지역</t>
        </is>
      </c>
      <c r="I10524" s="3" t="inlineStr">
        <is>
          <t>공장용지</t>
        </is>
      </c>
      <c r="J10524" s="3" t="inlineStr">
        <is>
          <t>전동면</t>
        </is>
      </c>
    </row>
    <row r="10525">
      <c r="A10525" s="3" t="n">
        <v>2023</v>
      </c>
      <c r="B10525" s="4" t="n">
        <v>30000</v>
      </c>
      <c r="C10525" s="4" t="n">
        <v>1962</v>
      </c>
      <c r="D10525" s="4" t="n">
        <v>593.505</v>
      </c>
      <c r="E10525" s="5" t="n">
        <v>50.5</v>
      </c>
      <c r="F10525" s="3" t="inlineStr">
        <is>
          <t>전동면</t>
        </is>
      </c>
      <c r="G10525" s="3" t="inlineStr">
        <is>
          <t>미곡리</t>
        </is>
      </c>
      <c r="H10525" s="3" t="inlineStr">
        <is>
          <t>농림지역</t>
        </is>
      </c>
      <c r="I10525" s="3" t="inlineStr">
        <is>
          <t>과수원</t>
        </is>
      </c>
      <c r="J10525" s="3" t="inlineStr">
        <is>
          <t>전동면</t>
        </is>
      </c>
    </row>
    <row r="10526">
      <c r="A10526" s="3" t="n">
        <v>2023</v>
      </c>
      <c r="B10526" s="4" t="n">
        <v>2400</v>
      </c>
      <c r="C10526" s="4" t="n">
        <v>1651</v>
      </c>
      <c r="D10526" s="4" t="n">
        <v>499.4275</v>
      </c>
      <c r="E10526" s="5" t="n">
        <v>4.8</v>
      </c>
      <c r="F10526" s="3" t="inlineStr">
        <is>
          <t>전동면</t>
        </is>
      </c>
      <c r="G10526" s="3" t="inlineStr">
        <is>
          <t>봉대리</t>
        </is>
      </c>
      <c r="H10526" s="3" t="inlineStr">
        <is>
          <t>농림지역</t>
        </is>
      </c>
      <c r="I10526" s="3" t="inlineStr">
        <is>
          <t>임야</t>
        </is>
      </c>
      <c r="J10526" s="3" t="inlineStr">
        <is>
          <t>전동면</t>
        </is>
      </c>
    </row>
    <row r="10527">
      <c r="A10527" s="3" t="n">
        <v>2025</v>
      </c>
      <c r="B10527" s="4" t="n">
        <v>83800</v>
      </c>
      <c r="C10527" s="4" t="n">
        <v>2313</v>
      </c>
      <c r="D10527" s="4" t="n">
        <v>699.6825</v>
      </c>
      <c r="E10527" s="5" t="n">
        <v>119.8</v>
      </c>
      <c r="F10527" s="3" t="inlineStr">
        <is>
          <t>전의면</t>
        </is>
      </c>
      <c r="G10527" s="3" t="inlineStr">
        <is>
          <t>동교리</t>
        </is>
      </c>
      <c r="H10527" s="3" t="inlineStr">
        <is>
          <t>계획관리지역</t>
        </is>
      </c>
      <c r="I10527" s="3" t="inlineStr">
        <is>
          <t>임야</t>
        </is>
      </c>
      <c r="J10527" s="3" t="inlineStr">
        <is>
          <t>전의면</t>
        </is>
      </c>
    </row>
    <row r="10528">
      <c r="A10528" s="3" t="n">
        <v>2025</v>
      </c>
      <c r="B10528" s="4" t="n">
        <v>93200</v>
      </c>
      <c r="C10528" s="4" t="n">
        <v>2575</v>
      </c>
      <c r="D10528" s="4" t="n">
        <v>778.9375</v>
      </c>
      <c r="E10528" s="5" t="n">
        <v>119.7</v>
      </c>
      <c r="F10528" s="3" t="inlineStr">
        <is>
          <t>전의면</t>
        </is>
      </c>
      <c r="G10528" s="3" t="inlineStr">
        <is>
          <t>동교리</t>
        </is>
      </c>
      <c r="H10528" s="3" t="inlineStr">
        <is>
          <t>계획관리지역</t>
        </is>
      </c>
      <c r="I10528" s="3" t="inlineStr">
        <is>
          <t>임야</t>
        </is>
      </c>
      <c r="J10528" s="3" t="inlineStr">
        <is>
          <t>전의면</t>
        </is>
      </c>
    </row>
    <row r="10529">
      <c r="A10529" s="3" t="n">
        <v>2025</v>
      </c>
      <c r="B10529" s="4" t="n">
        <v>33000</v>
      </c>
      <c r="C10529" s="4" t="n">
        <v>2448</v>
      </c>
      <c r="D10529" s="4" t="n">
        <v>740.52</v>
      </c>
      <c r="E10529" s="5" t="n">
        <v>44.6</v>
      </c>
      <c r="F10529" s="3" t="inlineStr">
        <is>
          <t>연동면</t>
        </is>
      </c>
      <c r="G10529" s="3" t="inlineStr">
        <is>
          <t>송용리</t>
        </is>
      </c>
      <c r="H10529" s="3" t="inlineStr">
        <is>
          <t>농림지역</t>
        </is>
      </c>
      <c r="I10529" s="3" t="inlineStr">
        <is>
          <t>답</t>
        </is>
      </c>
      <c r="J10529" s="3" t="inlineStr">
        <is>
          <t>연동면</t>
        </is>
      </c>
    </row>
    <row r="10530">
      <c r="A10530" s="3" t="n">
        <v>2025</v>
      </c>
      <c r="B10530" s="4" t="n">
        <v>16614</v>
      </c>
      <c r="C10530" s="4" t="n">
        <v>704</v>
      </c>
      <c r="D10530" s="4" t="n">
        <v>212.96</v>
      </c>
      <c r="E10530" s="5" t="n">
        <v>78</v>
      </c>
      <c r="F10530" s="3" t="inlineStr">
        <is>
          <t>부강면</t>
        </is>
      </c>
      <c r="G10530" s="3" t="inlineStr">
        <is>
          <t>산수리</t>
        </is>
      </c>
      <c r="H10530" s="3" t="inlineStr">
        <is>
          <t>보전관리지역</t>
        </is>
      </c>
      <c r="I10530" s="3" t="inlineStr">
        <is>
          <t>답</t>
        </is>
      </c>
      <c r="J10530" s="3" t="inlineStr">
        <is>
          <t>부강면</t>
        </is>
      </c>
    </row>
    <row r="10531">
      <c r="A10531" s="3" t="n">
        <v>2025</v>
      </c>
      <c r="B10531" s="4" t="n">
        <v>5940</v>
      </c>
      <c r="C10531" s="4" t="n">
        <v>1312</v>
      </c>
      <c r="D10531" s="4" t="n">
        <v>396.88</v>
      </c>
      <c r="E10531" s="5" t="n">
        <v>15</v>
      </c>
      <c r="F10531" s="3" t="inlineStr">
        <is>
          <t>금남면</t>
        </is>
      </c>
      <c r="G10531" s="3" t="inlineStr">
        <is>
          <t>영대리</t>
        </is>
      </c>
      <c r="H10531" s="3" t="inlineStr">
        <is>
          <t>개발제한구역</t>
        </is>
      </c>
      <c r="I10531" s="3" t="inlineStr">
        <is>
          <t>답</t>
        </is>
      </c>
      <c r="J10531" s="3" t="inlineStr">
        <is>
          <t>금남면</t>
        </is>
      </c>
    </row>
    <row r="10532">
      <c r="A10532" s="3" t="n">
        <v>2025</v>
      </c>
      <c r="B10532" s="4" t="n">
        <v>57500</v>
      </c>
      <c r="C10532" s="4" t="n">
        <v>356.9</v>
      </c>
      <c r="D10532" s="4" t="n">
        <v>107.96225</v>
      </c>
      <c r="E10532" s="5" t="n">
        <v>532.6</v>
      </c>
      <c r="F10532" s="3" t="inlineStr">
        <is>
          <t>고운동</t>
        </is>
      </c>
      <c r="G10532" s="3" t="inlineStr"/>
      <c r="H10532" s="3" t="inlineStr">
        <is>
          <t>제1종전용주거지역</t>
        </is>
      </c>
      <c r="I10532" s="3" t="inlineStr">
        <is>
          <t>대</t>
        </is>
      </c>
      <c r="J10532" s="3" t="inlineStr">
        <is>
          <t>고운동</t>
        </is>
      </c>
    </row>
    <row r="10533">
      <c r="A10533" s="3" t="n">
        <v>2025</v>
      </c>
      <c r="B10533" s="4" t="n">
        <v>3500</v>
      </c>
      <c r="C10533" s="4" t="n">
        <v>1000</v>
      </c>
      <c r="D10533" s="4" t="n">
        <v>302.5</v>
      </c>
      <c r="E10533" s="5" t="n">
        <v>11.6</v>
      </c>
      <c r="F10533" s="3" t="inlineStr">
        <is>
          <t>장군면</t>
        </is>
      </c>
      <c r="G10533" s="3" t="inlineStr">
        <is>
          <t>은용리</t>
        </is>
      </c>
      <c r="H10533" s="3" t="inlineStr">
        <is>
          <t>보전관리지역</t>
        </is>
      </c>
      <c r="I10533" s="3" t="inlineStr">
        <is>
          <t>임야</t>
        </is>
      </c>
      <c r="J10533" s="3" t="inlineStr">
        <is>
          <t>장군면</t>
        </is>
      </c>
    </row>
    <row r="10534">
      <c r="A10534" s="3" t="n">
        <v>2025</v>
      </c>
      <c r="B10534" s="4" t="n">
        <v>5500</v>
      </c>
      <c r="C10534" s="4" t="n">
        <v>1468</v>
      </c>
      <c r="D10534" s="4" t="n">
        <v>444.07</v>
      </c>
      <c r="E10534" s="5" t="n">
        <v>12.4</v>
      </c>
      <c r="F10534" s="3" t="inlineStr">
        <is>
          <t>장군면</t>
        </is>
      </c>
      <c r="G10534" s="3" t="inlineStr">
        <is>
          <t>은용리</t>
        </is>
      </c>
      <c r="H10534" s="3" t="inlineStr">
        <is>
          <t>보전관리지역</t>
        </is>
      </c>
      <c r="I10534" s="3" t="inlineStr">
        <is>
          <t>임야</t>
        </is>
      </c>
      <c r="J10534" s="3" t="inlineStr">
        <is>
          <t>장군면</t>
        </is>
      </c>
    </row>
    <row r="10535">
      <c r="A10535" s="3" t="n">
        <v>2025</v>
      </c>
      <c r="B10535" s="4" t="n">
        <v>5000</v>
      </c>
      <c r="C10535" s="4" t="n">
        <v>1655</v>
      </c>
      <c r="D10535" s="4" t="n">
        <v>500.6375</v>
      </c>
      <c r="E10535" s="5" t="n">
        <v>10</v>
      </c>
      <c r="F10535" s="3" t="inlineStr">
        <is>
          <t>장군면</t>
        </is>
      </c>
      <c r="G10535" s="3" t="inlineStr">
        <is>
          <t>은용리</t>
        </is>
      </c>
      <c r="H10535" s="3" t="inlineStr">
        <is>
          <t>보전관리지역</t>
        </is>
      </c>
      <c r="I10535" s="3" t="inlineStr">
        <is>
          <t>임야</t>
        </is>
      </c>
      <c r="J10535" s="3" t="inlineStr">
        <is>
          <t>장군면</t>
        </is>
      </c>
    </row>
    <row r="10536">
      <c r="A10536" s="3" t="n">
        <v>2025</v>
      </c>
      <c r="B10536" s="4" t="n">
        <v>2100</v>
      </c>
      <c r="C10536" s="4" t="n">
        <v>1764</v>
      </c>
      <c r="D10536" s="4" t="n">
        <v>533.61</v>
      </c>
      <c r="E10536" s="5" t="n">
        <v>3.9</v>
      </c>
      <c r="F10536" s="3" t="inlineStr">
        <is>
          <t>장군면</t>
        </is>
      </c>
      <c r="G10536" s="3" t="inlineStr">
        <is>
          <t>은용리</t>
        </is>
      </c>
      <c r="H10536" s="3" t="inlineStr">
        <is>
          <t>보전관리지역</t>
        </is>
      </c>
      <c r="I10536" s="3" t="inlineStr">
        <is>
          <t>임야</t>
        </is>
      </c>
      <c r="J10536" s="3" t="inlineStr">
        <is>
          <t>장군면</t>
        </is>
      </c>
    </row>
    <row r="10537">
      <c r="A10537" s="3" t="n">
        <v>2025</v>
      </c>
      <c r="B10537" s="4" t="n">
        <v>600</v>
      </c>
      <c r="C10537" s="4" t="n">
        <v>618</v>
      </c>
      <c r="D10537" s="4" t="n">
        <v>186.945</v>
      </c>
      <c r="E10537" s="5" t="n">
        <v>3.2</v>
      </c>
      <c r="F10537" s="3" t="inlineStr">
        <is>
          <t>장군면</t>
        </is>
      </c>
      <c r="G10537" s="3" t="inlineStr">
        <is>
          <t>은용리</t>
        </is>
      </c>
      <c r="H10537" s="3" t="inlineStr">
        <is>
          <t>농림지역</t>
        </is>
      </c>
      <c r="I10537" s="3" t="inlineStr">
        <is>
          <t>임야</t>
        </is>
      </c>
      <c r="J10537" s="3" t="inlineStr">
        <is>
          <t>장군면</t>
        </is>
      </c>
    </row>
    <row r="10538">
      <c r="A10538" s="3" t="n">
        <v>2025</v>
      </c>
      <c r="B10538" s="4" t="n">
        <v>2000</v>
      </c>
      <c r="C10538" s="4" t="n">
        <v>1914</v>
      </c>
      <c r="D10538" s="4" t="n">
        <v>578.985</v>
      </c>
      <c r="E10538" s="5" t="n">
        <v>3.5</v>
      </c>
      <c r="F10538" s="3" t="inlineStr">
        <is>
          <t>장군면</t>
        </is>
      </c>
      <c r="G10538" s="3" t="inlineStr">
        <is>
          <t>은용리</t>
        </is>
      </c>
      <c r="H10538" s="3" t="inlineStr">
        <is>
          <t>농림지역</t>
        </is>
      </c>
      <c r="I10538" s="3" t="inlineStr">
        <is>
          <t>임야</t>
        </is>
      </c>
      <c r="J10538" s="3" t="inlineStr">
        <is>
          <t>장군면</t>
        </is>
      </c>
    </row>
    <row r="10539">
      <c r="A10539" s="3" t="n">
        <v>2025</v>
      </c>
      <c r="B10539" s="4" t="n">
        <v>2100</v>
      </c>
      <c r="C10539" s="4" t="n">
        <v>1973</v>
      </c>
      <c r="D10539" s="4" t="n">
        <v>596.8325</v>
      </c>
      <c r="E10539" s="5" t="n">
        <v>3.5</v>
      </c>
      <c r="F10539" s="3" t="inlineStr">
        <is>
          <t>장군면</t>
        </is>
      </c>
      <c r="G10539" s="3" t="inlineStr">
        <is>
          <t>은용리</t>
        </is>
      </c>
      <c r="H10539" s="3" t="inlineStr">
        <is>
          <t>농림지역</t>
        </is>
      </c>
      <c r="I10539" s="3" t="inlineStr">
        <is>
          <t>임야</t>
        </is>
      </c>
      <c r="J10539" s="3" t="inlineStr">
        <is>
          <t>장군면</t>
        </is>
      </c>
    </row>
    <row r="10540">
      <c r="A10540" s="3" t="n">
        <v>2025</v>
      </c>
      <c r="B10540" s="4" t="n">
        <v>2000</v>
      </c>
      <c r="C10540" s="4" t="n">
        <v>1974</v>
      </c>
      <c r="D10540" s="4" t="n">
        <v>597.135</v>
      </c>
      <c r="E10540" s="5" t="n">
        <v>3.3</v>
      </c>
      <c r="F10540" s="3" t="inlineStr">
        <is>
          <t>장군면</t>
        </is>
      </c>
      <c r="G10540" s="3" t="inlineStr">
        <is>
          <t>은용리</t>
        </is>
      </c>
      <c r="H10540" s="3" t="inlineStr">
        <is>
          <t>농림지역</t>
        </is>
      </c>
      <c r="I10540" s="3" t="inlineStr">
        <is>
          <t>임야</t>
        </is>
      </c>
      <c r="J10540" s="3" t="inlineStr">
        <is>
          <t>장군면</t>
        </is>
      </c>
    </row>
    <row r="10541">
      <c r="A10541" s="3" t="n">
        <v>2025</v>
      </c>
      <c r="B10541" s="4" t="n">
        <v>2300</v>
      </c>
      <c r="C10541" s="4" t="n">
        <v>1964</v>
      </c>
      <c r="D10541" s="4" t="n">
        <v>594.11</v>
      </c>
      <c r="E10541" s="5" t="n">
        <v>3.9</v>
      </c>
      <c r="F10541" s="3" t="inlineStr">
        <is>
          <t>장군면</t>
        </is>
      </c>
      <c r="G10541" s="3" t="inlineStr">
        <is>
          <t>은용리</t>
        </is>
      </c>
      <c r="H10541" s="3" t="inlineStr">
        <is>
          <t>보전관리지역</t>
        </is>
      </c>
      <c r="I10541" s="3" t="inlineStr">
        <is>
          <t>임야</t>
        </is>
      </c>
      <c r="J10541" s="3" t="inlineStr">
        <is>
          <t>장군면</t>
        </is>
      </c>
    </row>
    <row r="10542">
      <c r="A10542" s="3" t="n">
        <v>2025</v>
      </c>
      <c r="B10542" s="4" t="n">
        <v>400</v>
      </c>
      <c r="C10542" s="4" t="n">
        <v>441</v>
      </c>
      <c r="D10542" s="4" t="n">
        <v>133.4025</v>
      </c>
      <c r="E10542" s="5" t="n">
        <v>3</v>
      </c>
      <c r="F10542" s="3" t="inlineStr">
        <is>
          <t>장군면</t>
        </is>
      </c>
      <c r="G10542" s="3" t="inlineStr">
        <is>
          <t>은용리</t>
        </is>
      </c>
      <c r="H10542" s="3" t="inlineStr">
        <is>
          <t>농림지역</t>
        </is>
      </c>
      <c r="I10542" s="3" t="inlineStr">
        <is>
          <t>임야</t>
        </is>
      </c>
      <c r="J10542" s="3" t="inlineStr">
        <is>
          <t>장군면</t>
        </is>
      </c>
    </row>
    <row r="10543">
      <c r="A10543" s="3" t="n">
        <v>2025</v>
      </c>
      <c r="B10543" s="4" t="n">
        <v>1400</v>
      </c>
      <c r="C10543" s="4" t="n">
        <v>1372</v>
      </c>
      <c r="D10543" s="4" t="n">
        <v>415.03</v>
      </c>
      <c r="E10543" s="5" t="n">
        <v>3.4</v>
      </c>
      <c r="F10543" s="3" t="inlineStr">
        <is>
          <t>장군면</t>
        </is>
      </c>
      <c r="G10543" s="3" t="inlineStr">
        <is>
          <t>은용리</t>
        </is>
      </c>
      <c r="H10543" s="3" t="inlineStr">
        <is>
          <t>농림지역</t>
        </is>
      </c>
      <c r="I10543" s="3" t="inlineStr">
        <is>
          <t>임야</t>
        </is>
      </c>
      <c r="J10543" s="3" t="inlineStr">
        <is>
          <t>장군면</t>
        </is>
      </c>
    </row>
    <row r="10544">
      <c r="A10544" s="3" t="n">
        <v>2025</v>
      </c>
      <c r="B10544" s="4" t="n">
        <v>1600</v>
      </c>
      <c r="C10544" s="4" t="n">
        <v>1590</v>
      </c>
      <c r="D10544" s="4" t="n">
        <v>480.975</v>
      </c>
      <c r="E10544" s="5" t="n">
        <v>3.3</v>
      </c>
      <c r="F10544" s="3" t="inlineStr">
        <is>
          <t>장군면</t>
        </is>
      </c>
      <c r="G10544" s="3" t="inlineStr">
        <is>
          <t>은용리</t>
        </is>
      </c>
      <c r="H10544" s="3" t="inlineStr">
        <is>
          <t>농림지역</t>
        </is>
      </c>
      <c r="I10544" s="3" t="inlineStr">
        <is>
          <t>임야</t>
        </is>
      </c>
      <c r="J10544" s="3" t="inlineStr">
        <is>
          <t>장군면</t>
        </is>
      </c>
    </row>
    <row r="10545">
      <c r="A10545" s="3" t="n">
        <v>2025</v>
      </c>
      <c r="B10545" s="4" t="n">
        <v>3300</v>
      </c>
      <c r="C10545" s="4" t="n">
        <v>1518</v>
      </c>
      <c r="D10545" s="4" t="n">
        <v>459.195</v>
      </c>
      <c r="E10545" s="5" t="n">
        <v>7.2</v>
      </c>
      <c r="F10545" s="3" t="inlineStr">
        <is>
          <t>장군면</t>
        </is>
      </c>
      <c r="G10545" s="3" t="inlineStr">
        <is>
          <t>은용리</t>
        </is>
      </c>
      <c r="H10545" s="3" t="inlineStr">
        <is>
          <t>보전관리지역</t>
        </is>
      </c>
      <c r="I10545" s="3" t="inlineStr">
        <is>
          <t>임야</t>
        </is>
      </c>
      <c r="J10545" s="3" t="inlineStr">
        <is>
          <t>장군면</t>
        </is>
      </c>
    </row>
    <row r="10546">
      <c r="A10546" s="3" t="n">
        <v>2025</v>
      </c>
      <c r="B10546" s="4" t="n">
        <v>6500</v>
      </c>
      <c r="C10546" s="4" t="n">
        <v>1730</v>
      </c>
      <c r="D10546" s="4" t="n">
        <v>523.3249999999999</v>
      </c>
      <c r="E10546" s="5" t="n">
        <v>12.4</v>
      </c>
      <c r="F10546" s="3" t="inlineStr">
        <is>
          <t>장군면</t>
        </is>
      </c>
      <c r="G10546" s="3" t="inlineStr">
        <is>
          <t>은용리</t>
        </is>
      </c>
      <c r="H10546" s="3" t="inlineStr">
        <is>
          <t>보전관리지역</t>
        </is>
      </c>
      <c r="I10546" s="3" t="inlineStr">
        <is>
          <t>임야</t>
        </is>
      </c>
      <c r="J10546" s="3" t="inlineStr">
        <is>
          <t>장군면</t>
        </is>
      </c>
    </row>
    <row r="10547">
      <c r="A10547" s="3" t="n">
        <v>2025</v>
      </c>
      <c r="B10547" s="4" t="n">
        <v>1600</v>
      </c>
      <c r="C10547" s="4" t="n">
        <v>1539</v>
      </c>
      <c r="D10547" s="4" t="n">
        <v>465.5475</v>
      </c>
      <c r="E10547" s="5" t="n">
        <v>3.4</v>
      </c>
      <c r="F10547" s="3" t="inlineStr">
        <is>
          <t>장군면</t>
        </is>
      </c>
      <c r="G10547" s="3" t="inlineStr">
        <is>
          <t>은용리</t>
        </is>
      </c>
      <c r="H10547" s="3" t="inlineStr">
        <is>
          <t>농림지역</t>
        </is>
      </c>
      <c r="I10547" s="3" t="inlineStr">
        <is>
          <t>임야</t>
        </is>
      </c>
      <c r="J10547" s="3" t="inlineStr">
        <is>
          <t>장군면</t>
        </is>
      </c>
    </row>
    <row r="10548">
      <c r="A10548" s="3" t="n">
        <v>2025</v>
      </c>
      <c r="B10548" s="4" t="n">
        <v>300</v>
      </c>
      <c r="C10548" s="4" t="n">
        <v>294</v>
      </c>
      <c r="D10548" s="4" t="n">
        <v>88.935</v>
      </c>
      <c r="E10548" s="5" t="n">
        <v>3.4</v>
      </c>
      <c r="F10548" s="3" t="inlineStr">
        <is>
          <t>장군면</t>
        </is>
      </c>
      <c r="G10548" s="3" t="inlineStr">
        <is>
          <t>은용리</t>
        </is>
      </c>
      <c r="H10548" s="3" t="inlineStr">
        <is>
          <t>농림지역</t>
        </is>
      </c>
      <c r="I10548" s="3" t="inlineStr">
        <is>
          <t>임야</t>
        </is>
      </c>
      <c r="J10548" s="3" t="inlineStr">
        <is>
          <t>장군면</t>
        </is>
      </c>
    </row>
    <row r="10549">
      <c r="A10549" s="3" t="n">
        <v>2025</v>
      </c>
      <c r="B10549" s="4" t="n">
        <v>1700</v>
      </c>
      <c r="C10549" s="4" t="n">
        <v>924</v>
      </c>
      <c r="D10549" s="4" t="n">
        <v>279.51</v>
      </c>
      <c r="E10549" s="5" t="n">
        <v>6.1</v>
      </c>
      <c r="F10549" s="3" t="inlineStr">
        <is>
          <t>장군면</t>
        </is>
      </c>
      <c r="G10549" s="3" t="inlineStr">
        <is>
          <t>은용리</t>
        </is>
      </c>
      <c r="H10549" s="3" t="inlineStr">
        <is>
          <t>보전관리지역</t>
        </is>
      </c>
      <c r="I10549" s="3" t="inlineStr">
        <is>
          <t>임야</t>
        </is>
      </c>
      <c r="J10549" s="3" t="inlineStr">
        <is>
          <t>장군면</t>
        </is>
      </c>
    </row>
    <row r="10550">
      <c r="A10550" s="3" t="n">
        <v>2025</v>
      </c>
      <c r="B10550" s="4" t="n">
        <v>1900</v>
      </c>
      <c r="C10550" s="4" t="n">
        <v>1815</v>
      </c>
      <c r="D10550" s="4" t="n">
        <v>549.0375</v>
      </c>
      <c r="E10550" s="5" t="n">
        <v>3.5</v>
      </c>
      <c r="F10550" s="3" t="inlineStr">
        <is>
          <t>장군면</t>
        </is>
      </c>
      <c r="G10550" s="3" t="inlineStr">
        <is>
          <t>은용리</t>
        </is>
      </c>
      <c r="H10550" s="3" t="inlineStr">
        <is>
          <t>농림지역</t>
        </is>
      </c>
      <c r="I10550" s="3" t="inlineStr">
        <is>
          <t>임야</t>
        </is>
      </c>
      <c r="J10550" s="3" t="inlineStr">
        <is>
          <t>장군면</t>
        </is>
      </c>
    </row>
    <row r="10551">
      <c r="A10551" s="3" t="n">
        <v>2025</v>
      </c>
      <c r="B10551" s="4" t="n">
        <v>1900</v>
      </c>
      <c r="C10551" s="4" t="n">
        <v>1799</v>
      </c>
      <c r="D10551" s="4" t="n">
        <v>544.1975</v>
      </c>
      <c r="E10551" s="5" t="n">
        <v>3.5</v>
      </c>
      <c r="F10551" s="3" t="inlineStr">
        <is>
          <t>장군면</t>
        </is>
      </c>
      <c r="G10551" s="3" t="inlineStr">
        <is>
          <t>은용리</t>
        </is>
      </c>
      <c r="H10551" s="3" t="inlineStr">
        <is>
          <t>농림지역</t>
        </is>
      </c>
      <c r="I10551" s="3" t="inlineStr">
        <is>
          <t>임야</t>
        </is>
      </c>
      <c r="J10551" s="3" t="inlineStr">
        <is>
          <t>장군면</t>
        </is>
      </c>
    </row>
    <row r="10552">
      <c r="A10552" s="3" t="n">
        <v>2025</v>
      </c>
      <c r="B10552" s="4" t="n">
        <v>3300</v>
      </c>
      <c r="C10552" s="4" t="n">
        <v>1415</v>
      </c>
      <c r="D10552" s="4" t="n">
        <v>428.0375</v>
      </c>
      <c r="E10552" s="5" t="n">
        <v>7.7</v>
      </c>
      <c r="F10552" s="3" t="inlineStr">
        <is>
          <t>장군면</t>
        </is>
      </c>
      <c r="G10552" s="3" t="inlineStr">
        <is>
          <t>은용리</t>
        </is>
      </c>
      <c r="H10552" s="3" t="inlineStr">
        <is>
          <t>보전관리지역</t>
        </is>
      </c>
      <c r="I10552" s="3" t="inlineStr">
        <is>
          <t>임야</t>
        </is>
      </c>
      <c r="J10552" s="3" t="inlineStr">
        <is>
          <t>장군면</t>
        </is>
      </c>
    </row>
    <row r="10553">
      <c r="A10553" s="3" t="n">
        <v>2025</v>
      </c>
      <c r="B10553" s="4" t="n">
        <v>2000</v>
      </c>
      <c r="C10553" s="4" t="n">
        <v>1973</v>
      </c>
      <c r="D10553" s="4" t="n">
        <v>596.8325</v>
      </c>
      <c r="E10553" s="5" t="n">
        <v>3.4</v>
      </c>
      <c r="F10553" s="3" t="inlineStr">
        <is>
          <t>장군면</t>
        </is>
      </c>
      <c r="G10553" s="3" t="inlineStr">
        <is>
          <t>은용리</t>
        </is>
      </c>
      <c r="H10553" s="3" t="inlineStr">
        <is>
          <t>농림지역</t>
        </is>
      </c>
      <c r="I10553" s="3" t="inlineStr">
        <is>
          <t>임야</t>
        </is>
      </c>
      <c r="J10553" s="3" t="inlineStr">
        <is>
          <t>장군면</t>
        </is>
      </c>
    </row>
    <row r="10554">
      <c r="A10554" s="3" t="n">
        <v>2025</v>
      </c>
      <c r="B10554" s="4" t="n">
        <v>2000</v>
      </c>
      <c r="C10554" s="4" t="n">
        <v>1982</v>
      </c>
      <c r="D10554" s="4" t="n">
        <v>599.5549999999999</v>
      </c>
      <c r="E10554" s="5" t="n">
        <v>3.3</v>
      </c>
      <c r="F10554" s="3" t="inlineStr">
        <is>
          <t>장군면</t>
        </is>
      </c>
      <c r="G10554" s="3" t="inlineStr">
        <is>
          <t>은용리</t>
        </is>
      </c>
      <c r="H10554" s="3" t="inlineStr">
        <is>
          <t>농림지역</t>
        </is>
      </c>
      <c r="I10554" s="3" t="inlineStr">
        <is>
          <t>임야</t>
        </is>
      </c>
      <c r="J10554" s="3" t="inlineStr">
        <is>
          <t>장군면</t>
        </is>
      </c>
    </row>
    <row r="10555">
      <c r="A10555" s="3" t="n">
        <v>2025</v>
      </c>
      <c r="B10555" s="4" t="n">
        <v>852</v>
      </c>
      <c r="C10555" s="4" t="n">
        <v>2</v>
      </c>
      <c r="D10555" s="4" t="n">
        <v>0.605</v>
      </c>
      <c r="E10555" s="5" t="n">
        <v>1408.3</v>
      </c>
      <c r="F10555" s="3" t="inlineStr">
        <is>
          <t>금남면</t>
        </is>
      </c>
      <c r="G10555" s="3" t="inlineStr">
        <is>
          <t>용포리</t>
        </is>
      </c>
      <c r="H10555" s="3" t="inlineStr">
        <is>
          <t>일반상업지역</t>
        </is>
      </c>
      <c r="I10555" s="3" t="inlineStr">
        <is>
          <t>대</t>
        </is>
      </c>
      <c r="J10555" s="3" t="inlineStr">
        <is>
          <t>금남면</t>
        </is>
      </c>
    </row>
    <row r="10556">
      <c r="A10556" s="3" t="n">
        <v>2025</v>
      </c>
      <c r="B10556" s="4" t="n">
        <v>13974</v>
      </c>
      <c r="C10556" s="4" t="n">
        <v>15400</v>
      </c>
      <c r="D10556" s="4" t="n">
        <v>4658.5</v>
      </c>
      <c r="E10556" s="5" t="n">
        <v>3</v>
      </c>
      <c r="F10556" s="3" t="inlineStr">
        <is>
          <t>전의면</t>
        </is>
      </c>
      <c r="G10556" s="3" t="inlineStr">
        <is>
          <t>다방리</t>
        </is>
      </c>
      <c r="H10556" s="3" t="inlineStr">
        <is>
          <t>농림지역</t>
        </is>
      </c>
      <c r="I10556" s="3" t="inlineStr">
        <is>
          <t>임야</t>
        </is>
      </c>
      <c r="J10556" s="3" t="inlineStr">
        <is>
          <t>전의면</t>
        </is>
      </c>
    </row>
    <row r="10557">
      <c r="A10557" s="3" t="n">
        <v>2025</v>
      </c>
      <c r="B10557" s="4" t="n">
        <v>15565</v>
      </c>
      <c r="C10557" s="4" t="n">
        <v>1716</v>
      </c>
      <c r="D10557" s="4" t="n">
        <v>519.09</v>
      </c>
      <c r="E10557" s="5" t="n">
        <v>30</v>
      </c>
      <c r="F10557" s="3" t="inlineStr">
        <is>
          <t>소정면</t>
        </is>
      </c>
      <c r="G10557" s="3" t="inlineStr">
        <is>
          <t>소정리</t>
        </is>
      </c>
      <c r="H10557" s="3" t="inlineStr">
        <is>
          <t>농림지역</t>
        </is>
      </c>
      <c r="I10557" s="3" t="inlineStr">
        <is>
          <t>답</t>
        </is>
      </c>
      <c r="J10557" s="3" t="inlineStr">
        <is>
          <t>소정면</t>
        </is>
      </c>
    </row>
    <row r="10558">
      <c r="A10558" s="3" t="n">
        <v>2025</v>
      </c>
      <c r="B10558" s="4" t="n">
        <v>14485</v>
      </c>
      <c r="C10558" s="4" t="n">
        <v>1597</v>
      </c>
      <c r="D10558" s="4" t="n">
        <v>483.0925</v>
      </c>
      <c r="E10558" s="5" t="n">
        <v>30</v>
      </c>
      <c r="F10558" s="3" t="inlineStr">
        <is>
          <t>소정면</t>
        </is>
      </c>
      <c r="G10558" s="3" t="inlineStr">
        <is>
          <t>소정리</t>
        </is>
      </c>
      <c r="H10558" s="3" t="inlineStr">
        <is>
          <t>농림지역</t>
        </is>
      </c>
      <c r="I10558" s="3" t="inlineStr">
        <is>
          <t>답</t>
        </is>
      </c>
      <c r="J10558" s="3" t="inlineStr">
        <is>
          <t>소정면</t>
        </is>
      </c>
    </row>
    <row r="10559">
      <c r="A10559" s="3" t="n">
        <v>2025</v>
      </c>
      <c r="B10559" s="4" t="n">
        <v>1000</v>
      </c>
      <c r="C10559" s="4" t="n">
        <v>140</v>
      </c>
      <c r="D10559" s="4" t="n">
        <v>42.35</v>
      </c>
      <c r="E10559" s="5" t="n">
        <v>23.6</v>
      </c>
      <c r="F10559" s="3" t="inlineStr">
        <is>
          <t>부강면</t>
        </is>
      </c>
      <c r="G10559" s="3" t="inlineStr">
        <is>
          <t>문곡리</t>
        </is>
      </c>
      <c r="H10559" s="3" t="inlineStr">
        <is>
          <t>계획관리지역</t>
        </is>
      </c>
      <c r="I10559" s="3" t="inlineStr">
        <is>
          <t>답</t>
        </is>
      </c>
      <c r="J10559" s="3" t="inlineStr">
        <is>
          <t>부강면</t>
        </is>
      </c>
    </row>
    <row r="10560">
      <c r="A10560" s="3" t="n">
        <v>2025</v>
      </c>
      <c r="B10560" s="4" t="n">
        <v>6100</v>
      </c>
      <c r="C10560" s="4" t="n">
        <v>1193</v>
      </c>
      <c r="D10560" s="4" t="n">
        <v>360.8825</v>
      </c>
      <c r="E10560" s="5" t="n">
        <v>16.9</v>
      </c>
      <c r="F10560" s="3" t="inlineStr">
        <is>
          <t>전의면</t>
        </is>
      </c>
      <c r="G10560" s="3" t="inlineStr">
        <is>
          <t>신방리</t>
        </is>
      </c>
      <c r="H10560" s="3" t="inlineStr">
        <is>
          <t>계획관리지역</t>
        </is>
      </c>
      <c r="I10560" s="3" t="inlineStr">
        <is>
          <t>전</t>
        </is>
      </c>
      <c r="J10560" s="3" t="inlineStr">
        <is>
          <t>전의면</t>
        </is>
      </c>
    </row>
    <row r="10561">
      <c r="A10561" s="3" t="n">
        <v>2025</v>
      </c>
      <c r="B10561" s="4" t="n">
        <v>4400</v>
      </c>
      <c r="C10561" s="4" t="n">
        <v>866</v>
      </c>
      <c r="D10561" s="4" t="n">
        <v>261.965</v>
      </c>
      <c r="E10561" s="5" t="n">
        <v>16.8</v>
      </c>
      <c r="F10561" s="3" t="inlineStr">
        <is>
          <t>전의면</t>
        </is>
      </c>
      <c r="G10561" s="3" t="inlineStr">
        <is>
          <t>신방리</t>
        </is>
      </c>
      <c r="H10561" s="3" t="inlineStr">
        <is>
          <t>계획관리지역</t>
        </is>
      </c>
      <c r="I10561" s="3" t="inlineStr">
        <is>
          <t>전</t>
        </is>
      </c>
      <c r="J10561" s="3" t="inlineStr">
        <is>
          <t>전의면</t>
        </is>
      </c>
    </row>
    <row r="10562">
      <c r="A10562" s="3" t="n">
        <v>2022</v>
      </c>
      <c r="B10562" s="4" t="n">
        <v>5000</v>
      </c>
      <c r="C10562" s="4" t="n">
        <v>2182</v>
      </c>
      <c r="D10562" s="4" t="n">
        <v>660.0549999999999</v>
      </c>
      <c r="E10562" s="5" t="n">
        <v>7.6</v>
      </c>
      <c r="F10562" s="3" t="inlineStr">
        <is>
          <t>유구읍</t>
        </is>
      </c>
      <c r="G10562" s="3" t="inlineStr">
        <is>
          <t>탑곡리</t>
        </is>
      </c>
      <c r="H10562" s="3" t="inlineStr">
        <is>
          <t>생산관리지역</t>
        </is>
      </c>
      <c r="I10562" s="3" t="inlineStr">
        <is>
          <t>전</t>
        </is>
      </c>
      <c r="J10562" s="3" t="inlineStr">
        <is>
          <t>유구읍</t>
        </is>
      </c>
    </row>
    <row r="10563">
      <c r="A10563" s="3" t="n">
        <v>2022</v>
      </c>
      <c r="B10563" s="4" t="n">
        <v>4704</v>
      </c>
      <c r="C10563" s="4" t="n">
        <v>5554</v>
      </c>
      <c r="D10563" s="4" t="n">
        <v>1680.085</v>
      </c>
      <c r="E10563" s="5" t="n">
        <v>2.8</v>
      </c>
      <c r="F10563" s="3" t="inlineStr">
        <is>
          <t>유구읍</t>
        </is>
      </c>
      <c r="G10563" s="3" t="inlineStr">
        <is>
          <t>동해리</t>
        </is>
      </c>
      <c r="H10563" s="3" t="inlineStr">
        <is>
          <t>계획관리지역</t>
        </is>
      </c>
      <c r="I10563" s="3" t="inlineStr">
        <is>
          <t>임야</t>
        </is>
      </c>
      <c r="J10563" s="3" t="inlineStr">
        <is>
          <t>유구읍</t>
        </is>
      </c>
    </row>
    <row r="10564">
      <c r="A10564" s="3" t="n">
        <v>2022</v>
      </c>
      <c r="B10564" s="4" t="n">
        <v>40925</v>
      </c>
      <c r="C10564" s="4" t="n">
        <v>21436</v>
      </c>
      <c r="D10564" s="4" t="n">
        <v>6484.389999999999</v>
      </c>
      <c r="E10564" s="5" t="n">
        <v>6.3</v>
      </c>
      <c r="F10564" s="3" t="inlineStr">
        <is>
          <t>유구읍</t>
        </is>
      </c>
      <c r="G10564" s="3" t="inlineStr">
        <is>
          <t>만천리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유구읍</t>
        </is>
      </c>
    </row>
    <row r="10565">
      <c r="A10565" s="3" t="n">
        <v>2023</v>
      </c>
      <c r="B10565" s="4" t="n">
        <v>4400</v>
      </c>
      <c r="C10565" s="4" t="n">
        <v>582</v>
      </c>
      <c r="D10565" s="4" t="n">
        <v>176.055</v>
      </c>
      <c r="E10565" s="5" t="n">
        <v>25</v>
      </c>
      <c r="F10565" s="3" t="inlineStr">
        <is>
          <t>유구읍</t>
        </is>
      </c>
      <c r="G10565" s="3" t="inlineStr">
        <is>
          <t>세동리</t>
        </is>
      </c>
      <c r="H10565" s="3" t="inlineStr">
        <is>
          <t>계획관리지역</t>
        </is>
      </c>
      <c r="I10565" s="3" t="inlineStr">
        <is>
          <t>답</t>
        </is>
      </c>
      <c r="J10565" s="3" t="inlineStr">
        <is>
          <t>유구읍</t>
        </is>
      </c>
    </row>
    <row r="10566">
      <c r="A10566" s="3" t="n">
        <v>2023</v>
      </c>
      <c r="B10566" s="4" t="n">
        <v>10500</v>
      </c>
      <c r="C10566" s="4" t="n">
        <v>460</v>
      </c>
      <c r="D10566" s="4" t="n">
        <v>139.15</v>
      </c>
      <c r="E10566" s="5" t="n">
        <v>75.5</v>
      </c>
      <c r="F10566" s="3" t="inlineStr">
        <is>
          <t>유구읍</t>
        </is>
      </c>
      <c r="G10566" s="3" t="inlineStr">
        <is>
          <t>석남리</t>
        </is>
      </c>
      <c r="H10566" s="3" t="inlineStr">
        <is>
          <t>준주거지역</t>
        </is>
      </c>
      <c r="I10566" s="3" t="inlineStr">
        <is>
          <t>대</t>
        </is>
      </c>
      <c r="J10566" s="3" t="inlineStr">
        <is>
          <t>유구읍</t>
        </is>
      </c>
    </row>
    <row r="10567">
      <c r="A10567" s="3" t="n">
        <v>2023</v>
      </c>
      <c r="B10567" s="4" t="n">
        <v>15500</v>
      </c>
      <c r="C10567" s="4" t="n">
        <v>1387</v>
      </c>
      <c r="D10567" s="4" t="n">
        <v>419.5675</v>
      </c>
      <c r="E10567" s="5" t="n">
        <v>36.9</v>
      </c>
      <c r="F10567" s="3" t="inlineStr">
        <is>
          <t>유구읍</t>
        </is>
      </c>
      <c r="G10567" s="3" t="inlineStr">
        <is>
          <t>문금리</t>
        </is>
      </c>
      <c r="H10567" s="3" t="inlineStr">
        <is>
          <t>보전관리지역</t>
        </is>
      </c>
      <c r="I10567" s="3" t="inlineStr">
        <is>
          <t>대</t>
        </is>
      </c>
      <c r="J10567" s="3" t="inlineStr">
        <is>
          <t>유구읍</t>
        </is>
      </c>
    </row>
    <row r="10568">
      <c r="A10568" s="3" t="n">
        <v>2023</v>
      </c>
      <c r="B10568" s="4" t="n">
        <v>2850</v>
      </c>
      <c r="C10568" s="4" t="n">
        <v>397</v>
      </c>
      <c r="D10568" s="4" t="n">
        <v>120.0925</v>
      </c>
      <c r="E10568" s="5" t="n">
        <v>23.7</v>
      </c>
      <c r="F10568" s="3" t="inlineStr">
        <is>
          <t>유구읍</t>
        </is>
      </c>
      <c r="G10568" s="3" t="inlineStr">
        <is>
          <t>탑곡리</t>
        </is>
      </c>
      <c r="H10568" s="3" t="inlineStr">
        <is>
          <t>계획관리지역</t>
        </is>
      </c>
      <c r="I10568" s="3" t="inlineStr">
        <is>
          <t>대</t>
        </is>
      </c>
      <c r="J10568" s="3" t="inlineStr">
        <is>
          <t>유구읍</t>
        </is>
      </c>
    </row>
    <row r="10569">
      <c r="A10569" s="3" t="n">
        <v>2023</v>
      </c>
      <c r="B10569" s="4" t="n">
        <v>4655</v>
      </c>
      <c r="C10569" s="4" t="n">
        <v>1369</v>
      </c>
      <c r="D10569" s="4" t="n">
        <v>414.1225</v>
      </c>
      <c r="E10569" s="5" t="n">
        <v>11.2</v>
      </c>
      <c r="F10569" s="3" t="inlineStr">
        <is>
          <t>유구읍</t>
        </is>
      </c>
      <c r="G10569" s="3" t="inlineStr">
        <is>
          <t>신영리</t>
        </is>
      </c>
      <c r="H10569" s="3" t="inlineStr">
        <is>
          <t>농림지역</t>
        </is>
      </c>
      <c r="I10569" s="3" t="inlineStr">
        <is>
          <t>답</t>
        </is>
      </c>
      <c r="J10569" s="3" t="inlineStr">
        <is>
          <t>유구읍</t>
        </is>
      </c>
    </row>
    <row r="10570">
      <c r="A10570" s="3" t="n">
        <v>2023</v>
      </c>
      <c r="B10570" s="4" t="n">
        <v>4700</v>
      </c>
      <c r="C10570" s="4" t="n">
        <v>1881</v>
      </c>
      <c r="D10570" s="4" t="n">
        <v>569.0024999999999</v>
      </c>
      <c r="E10570" s="5" t="n">
        <v>8.300000000000001</v>
      </c>
      <c r="F10570" s="3" t="inlineStr">
        <is>
          <t>유구읍</t>
        </is>
      </c>
      <c r="G10570" s="3" t="inlineStr">
        <is>
          <t>신영리</t>
        </is>
      </c>
      <c r="H10570" s="3" t="inlineStr">
        <is>
          <t>농림지역</t>
        </is>
      </c>
      <c r="I10570" s="3" t="inlineStr">
        <is>
          <t>답</t>
        </is>
      </c>
      <c r="J10570" s="3" t="inlineStr">
        <is>
          <t>유구읍</t>
        </is>
      </c>
    </row>
    <row r="10571">
      <c r="A10571" s="3" t="n">
        <v>2023</v>
      </c>
      <c r="B10571" s="4" t="n">
        <v>7300</v>
      </c>
      <c r="C10571" s="4" t="n">
        <v>1459</v>
      </c>
      <c r="D10571" s="4" t="n">
        <v>441.3475</v>
      </c>
      <c r="E10571" s="5" t="n">
        <v>16.5</v>
      </c>
      <c r="F10571" s="3" t="inlineStr">
        <is>
          <t>유구읍</t>
        </is>
      </c>
      <c r="G10571" s="3" t="inlineStr">
        <is>
          <t>신영리</t>
        </is>
      </c>
      <c r="H10571" s="3" t="inlineStr">
        <is>
          <t>보전관리지역</t>
        </is>
      </c>
      <c r="I10571" s="3" t="inlineStr">
        <is>
          <t>전</t>
        </is>
      </c>
      <c r="J10571" s="3" t="inlineStr">
        <is>
          <t>유구읍</t>
        </is>
      </c>
    </row>
    <row r="10572">
      <c r="A10572" s="3" t="n">
        <v>2023</v>
      </c>
      <c r="B10572" s="4" t="n">
        <v>1000</v>
      </c>
      <c r="C10572" s="4" t="n">
        <v>269</v>
      </c>
      <c r="D10572" s="4" t="n">
        <v>81.3725</v>
      </c>
      <c r="E10572" s="5" t="n">
        <v>12.3</v>
      </c>
      <c r="F10572" s="3" t="inlineStr">
        <is>
          <t>유구읍</t>
        </is>
      </c>
      <c r="G10572" s="3" t="inlineStr">
        <is>
          <t>명곡리</t>
        </is>
      </c>
      <c r="H10572" s="3" t="inlineStr">
        <is>
          <t>계획관리지역</t>
        </is>
      </c>
      <c r="I10572" s="3" t="inlineStr">
        <is>
          <t>전</t>
        </is>
      </c>
      <c r="J10572" s="3" t="inlineStr">
        <is>
          <t>유구읍</t>
        </is>
      </c>
    </row>
    <row r="10573">
      <c r="A10573" s="3" t="n">
        <v>2023</v>
      </c>
      <c r="B10573" s="4" t="n">
        <v>3500</v>
      </c>
      <c r="C10573" s="4" t="n">
        <v>484</v>
      </c>
      <c r="D10573" s="4" t="n">
        <v>146.41</v>
      </c>
      <c r="E10573" s="5" t="n">
        <v>23.9</v>
      </c>
      <c r="F10573" s="3" t="inlineStr">
        <is>
          <t>유구읍</t>
        </is>
      </c>
      <c r="G10573" s="3" t="inlineStr">
        <is>
          <t>명곡리</t>
        </is>
      </c>
      <c r="H10573" s="3" t="inlineStr">
        <is>
          <t>계획관리지역</t>
        </is>
      </c>
      <c r="I10573" s="3" t="inlineStr">
        <is>
          <t>전</t>
        </is>
      </c>
      <c r="J10573" s="3" t="inlineStr">
        <is>
          <t>유구읍</t>
        </is>
      </c>
    </row>
    <row r="10574">
      <c r="A10574" s="3" t="n">
        <v>2023</v>
      </c>
      <c r="B10574" s="4" t="n">
        <v>6793</v>
      </c>
      <c r="C10574" s="4" t="n">
        <v>35107</v>
      </c>
      <c r="D10574" s="4" t="n">
        <v>10619.8675</v>
      </c>
      <c r="E10574" s="5" t="n">
        <v>0.6</v>
      </c>
      <c r="F10574" s="3" t="inlineStr">
        <is>
          <t>유구읍</t>
        </is>
      </c>
      <c r="G10574" s="3" t="inlineStr">
        <is>
          <t>백교리</t>
        </is>
      </c>
      <c r="H10574" s="3" t="inlineStr">
        <is>
          <t>농림지역</t>
        </is>
      </c>
      <c r="I10574" s="3" t="inlineStr">
        <is>
          <t>임야</t>
        </is>
      </c>
      <c r="J10574" s="3" t="inlineStr">
        <is>
          <t>유구읍</t>
        </is>
      </c>
    </row>
    <row r="10575">
      <c r="A10575" s="3" t="n">
        <v>2023</v>
      </c>
      <c r="B10575" s="4" t="n">
        <v>4000</v>
      </c>
      <c r="C10575" s="4" t="n">
        <v>1244</v>
      </c>
      <c r="D10575" s="4" t="n">
        <v>376.31</v>
      </c>
      <c r="E10575" s="5" t="n">
        <v>10.6</v>
      </c>
      <c r="F10575" s="3" t="inlineStr">
        <is>
          <t>유구읍</t>
        </is>
      </c>
      <c r="G10575" s="3" t="inlineStr">
        <is>
          <t>구계리</t>
        </is>
      </c>
      <c r="H10575" s="3" t="inlineStr">
        <is>
          <t>계획관리지역</t>
        </is>
      </c>
      <c r="I10575" s="3" t="inlineStr">
        <is>
          <t>임야</t>
        </is>
      </c>
      <c r="J10575" s="3" t="inlineStr">
        <is>
          <t>유구읍</t>
        </is>
      </c>
    </row>
    <row r="10576">
      <c r="A10576" s="3" t="n">
        <v>2023</v>
      </c>
      <c r="B10576" s="4" t="n">
        <v>5500</v>
      </c>
      <c r="C10576" s="4" t="n">
        <v>1200</v>
      </c>
      <c r="D10576" s="4" t="n">
        <v>363</v>
      </c>
      <c r="E10576" s="5" t="n">
        <v>15.2</v>
      </c>
      <c r="F10576" s="3" t="inlineStr">
        <is>
          <t>유구읍</t>
        </is>
      </c>
      <c r="G10576" s="3" t="inlineStr">
        <is>
          <t>백교리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유구읍</t>
        </is>
      </c>
    </row>
    <row r="10577">
      <c r="A10577" s="3" t="n">
        <v>2025</v>
      </c>
      <c r="B10577" s="4" t="n">
        <v>160</v>
      </c>
      <c r="C10577" s="4" t="n">
        <v>21</v>
      </c>
      <c r="D10577" s="4" t="n">
        <v>6.3525</v>
      </c>
      <c r="E10577" s="5" t="n">
        <v>25.2</v>
      </c>
      <c r="F10577" s="3" t="inlineStr">
        <is>
          <t>전동면</t>
        </is>
      </c>
      <c r="G10577" s="3" t="inlineStr">
        <is>
          <t>송성리</t>
        </is>
      </c>
      <c r="H10577" s="3" t="inlineStr">
        <is>
          <t>계획관리지역</t>
        </is>
      </c>
      <c r="I10577" s="3" t="inlineStr">
        <is>
          <t>잡종지</t>
        </is>
      </c>
      <c r="J10577" s="3" t="inlineStr">
        <is>
          <t>전동면</t>
        </is>
      </c>
    </row>
    <row r="10578">
      <c r="A10578" s="3" t="n">
        <v>2025</v>
      </c>
      <c r="B10578" s="4" t="n">
        <v>3640</v>
      </c>
      <c r="C10578" s="4" t="n">
        <v>485</v>
      </c>
      <c r="D10578" s="4" t="n">
        <v>146.7125</v>
      </c>
      <c r="E10578" s="5" t="n">
        <v>24.8</v>
      </c>
      <c r="F10578" s="3" t="inlineStr">
        <is>
          <t>전동면</t>
        </is>
      </c>
      <c r="G10578" s="3" t="inlineStr">
        <is>
          <t>송성리</t>
        </is>
      </c>
      <c r="H10578" s="3" t="inlineStr">
        <is>
          <t>보전관리지역</t>
        </is>
      </c>
      <c r="I10578" s="3" t="inlineStr">
        <is>
          <t>잡종지</t>
        </is>
      </c>
      <c r="J10578" s="3" t="inlineStr">
        <is>
          <t>전동면</t>
        </is>
      </c>
    </row>
    <row r="10579">
      <c r="A10579" s="3" t="n">
        <v>2025</v>
      </c>
      <c r="B10579" s="4" t="n">
        <v>20720</v>
      </c>
      <c r="C10579" s="4" t="n">
        <v>856</v>
      </c>
      <c r="D10579" s="4" t="n">
        <v>258.94</v>
      </c>
      <c r="E10579" s="5" t="n">
        <v>80</v>
      </c>
      <c r="F10579" s="3" t="inlineStr">
        <is>
          <t>장군면</t>
        </is>
      </c>
      <c r="G10579" s="3" t="inlineStr">
        <is>
          <t>봉안리</t>
        </is>
      </c>
      <c r="H10579" s="3" t="inlineStr">
        <is>
          <t>농림지역</t>
        </is>
      </c>
      <c r="I10579" s="3" t="inlineStr">
        <is>
          <t>답</t>
        </is>
      </c>
      <c r="J10579" s="3" t="inlineStr">
        <is>
          <t>장군면</t>
        </is>
      </c>
    </row>
    <row r="10580">
      <c r="A10580" s="3" t="n">
        <v>2025</v>
      </c>
      <c r="B10580" s="4" t="n">
        <v>91709</v>
      </c>
      <c r="C10580" s="4" t="n">
        <v>1418.8</v>
      </c>
      <c r="D10580" s="4" t="n">
        <v>429.187</v>
      </c>
      <c r="E10580" s="5" t="n">
        <v>213.7</v>
      </c>
      <c r="F10580" s="3" t="inlineStr">
        <is>
          <t>집현동</t>
        </is>
      </c>
      <c r="G10580" s="3" t="inlineStr"/>
      <c r="H10580" s="3" t="inlineStr">
        <is>
          <t>준주거지역</t>
        </is>
      </c>
      <c r="I10580" s="3" t="inlineStr">
        <is>
          <t>대</t>
        </is>
      </c>
      <c r="J10580" s="3" t="inlineStr">
        <is>
          <t>집현동</t>
        </is>
      </c>
    </row>
    <row r="10581">
      <c r="A10581" s="3" t="n">
        <v>2025</v>
      </c>
      <c r="B10581" s="4" t="n">
        <v>4050</v>
      </c>
      <c r="C10581" s="4" t="n">
        <v>92</v>
      </c>
      <c r="D10581" s="4" t="n">
        <v>27.83</v>
      </c>
      <c r="E10581" s="5" t="n">
        <v>145.5</v>
      </c>
      <c r="F10581" s="3" t="inlineStr">
        <is>
          <t>전의면</t>
        </is>
      </c>
      <c r="G10581" s="3" t="inlineStr">
        <is>
          <t>동교리</t>
        </is>
      </c>
      <c r="H10581" s="3" t="inlineStr">
        <is>
          <t>제1종일반주거지역</t>
        </is>
      </c>
      <c r="I10581" s="3" t="inlineStr">
        <is>
          <t>답</t>
        </is>
      </c>
      <c r="J10581" s="3" t="inlineStr">
        <is>
          <t>전의면</t>
        </is>
      </c>
    </row>
    <row r="10582">
      <c r="A10582" s="3" t="n">
        <v>2025</v>
      </c>
      <c r="B10582" s="4" t="n">
        <v>19000</v>
      </c>
      <c r="C10582" s="4" t="n">
        <v>1815</v>
      </c>
      <c r="D10582" s="4" t="n">
        <v>549.0375</v>
      </c>
      <c r="E10582" s="5" t="n">
        <v>34.6</v>
      </c>
      <c r="F10582" s="3" t="inlineStr">
        <is>
          <t>금남면</t>
        </is>
      </c>
      <c r="G10582" s="3" t="inlineStr">
        <is>
          <t>영치리</t>
        </is>
      </c>
      <c r="H10582" s="3" t="inlineStr">
        <is>
          <t>개발제한구역</t>
        </is>
      </c>
      <c r="I10582" s="3" t="inlineStr">
        <is>
          <t>전</t>
        </is>
      </c>
      <c r="J10582" s="3" t="inlineStr">
        <is>
          <t>금남면</t>
        </is>
      </c>
    </row>
    <row r="10583">
      <c r="A10583" s="3" t="n">
        <v>2025</v>
      </c>
      <c r="B10583" s="4" t="n">
        <v>9200</v>
      </c>
      <c r="C10583" s="4" t="n">
        <v>526</v>
      </c>
      <c r="D10583" s="4" t="n">
        <v>159.115</v>
      </c>
      <c r="E10583" s="5" t="n">
        <v>57.8</v>
      </c>
      <c r="F10583" s="3" t="inlineStr">
        <is>
          <t>금남면</t>
        </is>
      </c>
      <c r="G10583" s="3" t="inlineStr">
        <is>
          <t>도암리</t>
        </is>
      </c>
      <c r="H10583" s="3" t="inlineStr">
        <is>
          <t>농림지역</t>
        </is>
      </c>
      <c r="I10583" s="3" t="inlineStr">
        <is>
          <t>답</t>
        </is>
      </c>
      <c r="J10583" s="3" t="inlineStr">
        <is>
          <t>금남면</t>
        </is>
      </c>
    </row>
    <row r="10584">
      <c r="A10584" s="3" t="n">
        <v>2025</v>
      </c>
      <c r="B10584" s="4" t="n">
        <v>53000</v>
      </c>
      <c r="C10584" s="4" t="n">
        <v>3357.6</v>
      </c>
      <c r="D10584" s="4" t="n">
        <v>1015.674</v>
      </c>
      <c r="E10584" s="5" t="n">
        <v>52.2</v>
      </c>
      <c r="F10584" s="3" t="inlineStr">
        <is>
          <t>연동면</t>
        </is>
      </c>
      <c r="G10584" s="3" t="inlineStr">
        <is>
          <t>문주리</t>
        </is>
      </c>
      <c r="H10584" s="3" t="inlineStr">
        <is>
          <t>농림지역</t>
        </is>
      </c>
      <c r="I10584" s="3" t="inlineStr">
        <is>
          <t>답</t>
        </is>
      </c>
      <c r="J10584" s="3" t="inlineStr">
        <is>
          <t>연동면</t>
        </is>
      </c>
    </row>
    <row r="10585">
      <c r="A10585" s="3" t="n">
        <v>2025</v>
      </c>
      <c r="B10585" s="4" t="n">
        <v>23382</v>
      </c>
      <c r="C10585" s="4" t="n">
        <v>101</v>
      </c>
      <c r="D10585" s="4" t="n">
        <v>30.5525</v>
      </c>
      <c r="E10585" s="5" t="n">
        <v>765.3</v>
      </c>
      <c r="F10585" s="3" t="inlineStr">
        <is>
          <t>장군면</t>
        </is>
      </c>
      <c r="G10585" s="3" t="inlineStr">
        <is>
          <t>도계리</t>
        </is>
      </c>
      <c r="H10585" s="3" t="inlineStr">
        <is>
          <t>계획관리지역</t>
        </is>
      </c>
      <c r="I10585" s="3" t="inlineStr">
        <is>
          <t>대</t>
        </is>
      </c>
      <c r="J10585" s="3" t="inlineStr">
        <is>
          <t>장군면</t>
        </is>
      </c>
    </row>
    <row r="10586">
      <c r="A10586" s="3" t="n">
        <v>2025</v>
      </c>
      <c r="B10586" s="4" t="n">
        <v>1852</v>
      </c>
      <c r="C10586" s="4" t="n">
        <v>8</v>
      </c>
      <c r="D10586" s="4" t="n">
        <v>2.42</v>
      </c>
      <c r="E10586" s="5" t="n">
        <v>765.3</v>
      </c>
      <c r="F10586" s="3" t="inlineStr">
        <is>
          <t>장군면</t>
        </is>
      </c>
      <c r="G10586" s="3" t="inlineStr">
        <is>
          <t>도계리</t>
        </is>
      </c>
      <c r="H10586" s="3" t="inlineStr">
        <is>
          <t>계획관리지역</t>
        </is>
      </c>
      <c r="I10586" s="3" t="inlineStr">
        <is>
          <t>대</t>
        </is>
      </c>
      <c r="J10586" s="3" t="inlineStr">
        <is>
          <t>장군면</t>
        </is>
      </c>
    </row>
    <row r="10587">
      <c r="A10587" s="3" t="n">
        <v>2025</v>
      </c>
      <c r="B10587" s="4" t="n">
        <v>9955</v>
      </c>
      <c r="C10587" s="4" t="n">
        <v>43</v>
      </c>
      <c r="D10587" s="4" t="n">
        <v>13.0075</v>
      </c>
      <c r="E10587" s="5" t="n">
        <v>765.3</v>
      </c>
      <c r="F10587" s="3" t="inlineStr">
        <is>
          <t>장군면</t>
        </is>
      </c>
      <c r="G10587" s="3" t="inlineStr">
        <is>
          <t>도계리</t>
        </is>
      </c>
      <c r="H10587" s="3" t="inlineStr">
        <is>
          <t>계획관리지역</t>
        </is>
      </c>
      <c r="I10587" s="3" t="inlineStr">
        <is>
          <t>대</t>
        </is>
      </c>
      <c r="J10587" s="3" t="inlineStr">
        <is>
          <t>장군면</t>
        </is>
      </c>
    </row>
    <row r="10588">
      <c r="A10588" s="3" t="n">
        <v>2025</v>
      </c>
      <c r="B10588" s="4" t="n">
        <v>22456</v>
      </c>
      <c r="C10588" s="4" t="n">
        <v>97</v>
      </c>
      <c r="D10588" s="4" t="n">
        <v>29.3425</v>
      </c>
      <c r="E10588" s="5" t="n">
        <v>765.3</v>
      </c>
      <c r="F10588" s="3" t="inlineStr">
        <is>
          <t>장군면</t>
        </is>
      </c>
      <c r="G10588" s="3" t="inlineStr">
        <is>
          <t>도계리</t>
        </is>
      </c>
      <c r="H10588" s="3" t="inlineStr">
        <is>
          <t>계획관리지역</t>
        </is>
      </c>
      <c r="I10588" s="3" t="inlineStr">
        <is>
          <t>대</t>
        </is>
      </c>
      <c r="J10588" s="3" t="inlineStr">
        <is>
          <t>장군면</t>
        </is>
      </c>
    </row>
    <row r="10589">
      <c r="A10589" s="3" t="n">
        <v>2025</v>
      </c>
      <c r="B10589" s="4" t="n">
        <v>47000</v>
      </c>
      <c r="C10589" s="4" t="n">
        <v>1742</v>
      </c>
      <c r="D10589" s="4" t="n">
        <v>526.955</v>
      </c>
      <c r="E10589" s="5" t="n">
        <v>89.2</v>
      </c>
      <c r="F10589" s="3" t="inlineStr">
        <is>
          <t>연기면</t>
        </is>
      </c>
      <c r="G10589" s="3" t="inlineStr">
        <is>
          <t>눌왕리</t>
        </is>
      </c>
      <c r="H10589" s="3" t="inlineStr">
        <is>
          <t>농림지역</t>
        </is>
      </c>
      <c r="I10589" s="3" t="inlineStr">
        <is>
          <t>답</t>
        </is>
      </c>
      <c r="J10589" s="3" t="inlineStr">
        <is>
          <t>연기면</t>
        </is>
      </c>
    </row>
    <row r="10590">
      <c r="A10590" s="3" t="n">
        <v>2025</v>
      </c>
      <c r="B10590" s="4" t="n">
        <v>3000</v>
      </c>
      <c r="C10590" s="4" t="n">
        <v>242</v>
      </c>
      <c r="D10590" s="4" t="n">
        <v>73.205</v>
      </c>
      <c r="E10590" s="5" t="n">
        <v>41</v>
      </c>
      <c r="F10590" s="3" t="inlineStr">
        <is>
          <t>연서면</t>
        </is>
      </c>
      <c r="G10590" s="3" t="inlineStr">
        <is>
          <t>성제리</t>
        </is>
      </c>
      <c r="H10590" s="3" t="inlineStr">
        <is>
          <t>계획관리지역</t>
        </is>
      </c>
      <c r="I10590" s="3" t="inlineStr">
        <is>
          <t>임야</t>
        </is>
      </c>
      <c r="J10590" s="3" t="inlineStr">
        <is>
          <t>연서면</t>
        </is>
      </c>
    </row>
    <row r="10591">
      <c r="A10591" s="3" t="n">
        <v>2025</v>
      </c>
      <c r="B10591" s="4" t="n">
        <v>35000</v>
      </c>
      <c r="C10591" s="4" t="n">
        <v>1160</v>
      </c>
      <c r="D10591" s="4" t="n">
        <v>350.9</v>
      </c>
      <c r="E10591" s="5" t="n">
        <v>99.7</v>
      </c>
      <c r="F10591" s="3" t="inlineStr">
        <is>
          <t>연서면</t>
        </is>
      </c>
      <c r="G10591" s="3" t="inlineStr">
        <is>
          <t>봉암리</t>
        </is>
      </c>
      <c r="H10591" s="3" t="inlineStr">
        <is>
          <t>농림지역</t>
        </is>
      </c>
      <c r="I10591" s="3" t="inlineStr">
        <is>
          <t>답</t>
        </is>
      </c>
      <c r="J10591" s="3" t="inlineStr">
        <is>
          <t>연서면</t>
        </is>
      </c>
    </row>
    <row r="10592">
      <c r="A10592" s="3" t="n">
        <v>2025</v>
      </c>
      <c r="B10592" s="4" t="n">
        <v>10000</v>
      </c>
      <c r="C10592" s="4" t="n">
        <v>525</v>
      </c>
      <c r="D10592" s="4" t="n">
        <v>158.8125</v>
      </c>
      <c r="E10592" s="5" t="n">
        <v>63</v>
      </c>
      <c r="F10592" s="3" t="inlineStr">
        <is>
          <t>금남면</t>
        </is>
      </c>
      <c r="G10592" s="3" t="inlineStr">
        <is>
          <t>원봉리</t>
        </is>
      </c>
      <c r="H10592" s="3" t="inlineStr">
        <is>
          <t>계획관리지역</t>
        </is>
      </c>
      <c r="I10592" s="3" t="inlineStr">
        <is>
          <t>대</t>
        </is>
      </c>
      <c r="J10592" s="3" t="inlineStr">
        <is>
          <t>금남면</t>
        </is>
      </c>
    </row>
    <row r="10593">
      <c r="A10593" s="3" t="n">
        <v>2025</v>
      </c>
      <c r="B10593" s="4" t="n">
        <v>12000</v>
      </c>
      <c r="C10593" s="4" t="n">
        <v>406</v>
      </c>
      <c r="D10593" s="4" t="n">
        <v>122.815</v>
      </c>
      <c r="E10593" s="5" t="n">
        <v>97.7</v>
      </c>
      <c r="F10593" s="3" t="inlineStr">
        <is>
          <t>금남면</t>
        </is>
      </c>
      <c r="G10593" s="3" t="inlineStr">
        <is>
          <t>용포리</t>
        </is>
      </c>
      <c r="H10593" s="3" t="inlineStr">
        <is>
          <t>개발제한구역</t>
        </is>
      </c>
      <c r="I10593" s="3" t="inlineStr">
        <is>
          <t>전</t>
        </is>
      </c>
      <c r="J10593" s="3" t="inlineStr">
        <is>
          <t>금남면</t>
        </is>
      </c>
    </row>
    <row r="10594">
      <c r="A10594" s="3" t="n">
        <v>2025</v>
      </c>
      <c r="B10594" s="4" t="n">
        <v>31674</v>
      </c>
      <c r="C10594" s="4" t="n">
        <v>556</v>
      </c>
      <c r="D10594" s="4" t="n">
        <v>168.19</v>
      </c>
      <c r="E10594" s="5" t="n">
        <v>188.3</v>
      </c>
      <c r="F10594" s="3" t="inlineStr">
        <is>
          <t>전의면</t>
        </is>
      </c>
      <c r="G10594" s="3" t="inlineStr">
        <is>
          <t>신방리</t>
        </is>
      </c>
      <c r="H10594" s="3" t="inlineStr">
        <is>
          <t>계획관리지역</t>
        </is>
      </c>
      <c r="I10594" s="3" t="inlineStr">
        <is>
          <t>임야</t>
        </is>
      </c>
      <c r="J10594" s="3" t="inlineStr">
        <is>
          <t>전의면</t>
        </is>
      </c>
    </row>
    <row r="10595">
      <c r="A10595" s="3" t="n">
        <v>2025</v>
      </c>
      <c r="B10595" s="4" t="n">
        <v>27594</v>
      </c>
      <c r="C10595" s="4" t="n">
        <v>451</v>
      </c>
      <c r="D10595" s="4" t="n">
        <v>136.4275</v>
      </c>
      <c r="E10595" s="5" t="n">
        <v>202.3</v>
      </c>
      <c r="F10595" s="3" t="inlineStr">
        <is>
          <t>전의면</t>
        </is>
      </c>
      <c r="G10595" s="3" t="inlineStr">
        <is>
          <t>신방리</t>
        </is>
      </c>
      <c r="H10595" s="3" t="inlineStr">
        <is>
          <t>계획관리지역</t>
        </is>
      </c>
      <c r="I10595" s="3" t="inlineStr">
        <is>
          <t>임야</t>
        </is>
      </c>
      <c r="J10595" s="3" t="inlineStr">
        <is>
          <t>전의면</t>
        </is>
      </c>
    </row>
    <row r="10596">
      <c r="A10596" s="3" t="n">
        <v>2025</v>
      </c>
      <c r="B10596" s="4" t="n">
        <v>4813</v>
      </c>
      <c r="C10596" s="4" t="n">
        <v>139.3</v>
      </c>
      <c r="D10596" s="4" t="n">
        <v>42.13825</v>
      </c>
      <c r="E10596" s="5" t="n">
        <v>114.2</v>
      </c>
      <c r="F10596" s="3" t="inlineStr">
        <is>
          <t>연서면</t>
        </is>
      </c>
      <c r="G10596" s="3" t="inlineStr">
        <is>
          <t>월하리</t>
        </is>
      </c>
      <c r="H10596" s="3" t="inlineStr">
        <is>
          <t>계획관리지역</t>
        </is>
      </c>
      <c r="I10596" s="3" t="inlineStr">
        <is>
          <t>도로</t>
        </is>
      </c>
      <c r="J10596" s="3" t="inlineStr">
        <is>
          <t>연서면</t>
        </is>
      </c>
    </row>
    <row r="10597">
      <c r="A10597" s="3" t="n">
        <v>2025</v>
      </c>
      <c r="B10597" s="4" t="n">
        <v>1728</v>
      </c>
      <c r="C10597" s="4" t="n">
        <v>50</v>
      </c>
      <c r="D10597" s="4" t="n">
        <v>15.125</v>
      </c>
      <c r="E10597" s="5" t="n">
        <v>114.2</v>
      </c>
      <c r="F10597" s="3" t="inlineStr">
        <is>
          <t>연서면</t>
        </is>
      </c>
      <c r="G10597" s="3" t="inlineStr">
        <is>
          <t>월하리</t>
        </is>
      </c>
      <c r="H10597" s="3" t="inlineStr">
        <is>
          <t>계획관리지역</t>
        </is>
      </c>
      <c r="I10597" s="3" t="inlineStr">
        <is>
          <t>도로</t>
        </is>
      </c>
      <c r="J10597" s="3" t="inlineStr">
        <is>
          <t>연서면</t>
        </is>
      </c>
    </row>
    <row r="10598">
      <c r="A10598" s="3" t="n">
        <v>2022</v>
      </c>
      <c r="B10598" s="4" t="n">
        <v>27308</v>
      </c>
      <c r="C10598" s="4" t="n">
        <v>392</v>
      </c>
      <c r="D10598" s="4" t="n">
        <v>118.58</v>
      </c>
      <c r="E10598" s="5" t="n">
        <v>230.3</v>
      </c>
      <c r="F10598" s="3" t="inlineStr">
        <is>
          <t>금남면</t>
        </is>
      </c>
      <c r="G10598" s="3" t="inlineStr">
        <is>
          <t>대박리</t>
        </is>
      </c>
      <c r="H10598" s="3" t="inlineStr">
        <is>
          <t>보전관리지역</t>
        </is>
      </c>
      <c r="I10598" s="3" t="inlineStr">
        <is>
          <t>대</t>
        </is>
      </c>
      <c r="J10598" s="3" t="inlineStr">
        <is>
          <t>금남면</t>
        </is>
      </c>
    </row>
    <row r="10599">
      <c r="A10599" s="3" t="n">
        <v>2022</v>
      </c>
      <c r="B10599" s="4" t="n">
        <v>29820</v>
      </c>
      <c r="C10599" s="4" t="n">
        <v>428</v>
      </c>
      <c r="D10599" s="4" t="n">
        <v>129.47</v>
      </c>
      <c r="E10599" s="5" t="n">
        <v>230.3</v>
      </c>
      <c r="F10599" s="3" t="inlineStr">
        <is>
          <t>금남면</t>
        </is>
      </c>
      <c r="G10599" s="3" t="inlineStr">
        <is>
          <t>대박리</t>
        </is>
      </c>
      <c r="H10599" s="3" t="inlineStr">
        <is>
          <t>보전관리지역</t>
        </is>
      </c>
      <c r="I10599" s="3" t="inlineStr">
        <is>
          <t>대</t>
        </is>
      </c>
      <c r="J10599" s="3" t="inlineStr">
        <is>
          <t>금남면</t>
        </is>
      </c>
    </row>
    <row r="10600">
      <c r="A10600" s="3" t="n">
        <v>2022</v>
      </c>
      <c r="B10600" s="4" t="n">
        <v>50000</v>
      </c>
      <c r="C10600" s="4" t="n">
        <v>586</v>
      </c>
      <c r="D10600" s="4" t="n">
        <v>177.265</v>
      </c>
      <c r="E10600" s="5" t="n">
        <v>282.1</v>
      </c>
      <c r="F10600" s="3" t="inlineStr">
        <is>
          <t>장군면</t>
        </is>
      </c>
      <c r="G10600" s="3" t="inlineStr">
        <is>
          <t>태산리</t>
        </is>
      </c>
      <c r="H10600" s="3" t="inlineStr">
        <is>
          <t>보전관리지역</t>
        </is>
      </c>
      <c r="I10600" s="3" t="inlineStr">
        <is>
          <t>임야</t>
        </is>
      </c>
      <c r="J10600" s="3" t="inlineStr">
        <is>
          <t>장군면</t>
        </is>
      </c>
    </row>
    <row r="10601">
      <c r="A10601" s="3" t="n">
        <v>2022</v>
      </c>
      <c r="B10601" s="4" t="n">
        <v>60000</v>
      </c>
      <c r="C10601" s="4" t="n">
        <v>1322</v>
      </c>
      <c r="D10601" s="4" t="n">
        <v>399.905</v>
      </c>
      <c r="E10601" s="5" t="n">
        <v>150</v>
      </c>
      <c r="F10601" s="3" t="inlineStr">
        <is>
          <t>장군면</t>
        </is>
      </c>
      <c r="G10601" s="3" t="inlineStr">
        <is>
          <t>하봉리</t>
        </is>
      </c>
      <c r="H10601" s="3" t="inlineStr">
        <is>
          <t>계획관리지역</t>
        </is>
      </c>
      <c r="I10601" s="3" t="inlineStr">
        <is>
          <t>답</t>
        </is>
      </c>
      <c r="J10601" s="3" t="inlineStr">
        <is>
          <t>장군면</t>
        </is>
      </c>
    </row>
    <row r="10602">
      <c r="A10602" s="3" t="n">
        <v>2022</v>
      </c>
      <c r="B10602" s="4" t="n">
        <v>1160</v>
      </c>
      <c r="C10602" s="4" t="n">
        <v>75</v>
      </c>
      <c r="D10602" s="4" t="n">
        <v>22.6875</v>
      </c>
      <c r="E10602" s="5" t="n">
        <v>51.1</v>
      </c>
      <c r="F10602" s="3" t="inlineStr">
        <is>
          <t>연기면</t>
        </is>
      </c>
      <c r="G10602" s="3" t="inlineStr">
        <is>
          <t>수산리</t>
        </is>
      </c>
      <c r="H10602" s="3" t="inlineStr">
        <is>
          <t>보전관리지역</t>
        </is>
      </c>
      <c r="I10602" s="3" t="inlineStr">
        <is>
          <t>전</t>
        </is>
      </c>
      <c r="J10602" s="3" t="inlineStr">
        <is>
          <t>연기면</t>
        </is>
      </c>
    </row>
    <row r="10603">
      <c r="A10603" s="3" t="n">
        <v>2022</v>
      </c>
      <c r="B10603" s="4" t="n">
        <v>118000</v>
      </c>
      <c r="C10603" s="4" t="n">
        <v>1564</v>
      </c>
      <c r="D10603" s="4" t="n">
        <v>473.11</v>
      </c>
      <c r="E10603" s="5" t="n">
        <v>249.4</v>
      </c>
      <c r="F10603" s="3" t="inlineStr">
        <is>
          <t>연동면</t>
        </is>
      </c>
      <c r="G10603" s="3" t="inlineStr">
        <is>
          <t>명학리</t>
        </is>
      </c>
      <c r="H10603" s="3" t="inlineStr">
        <is>
          <t>농림지역</t>
        </is>
      </c>
      <c r="I10603" s="3" t="inlineStr">
        <is>
          <t>전</t>
        </is>
      </c>
      <c r="J10603" s="3" t="inlineStr">
        <is>
          <t>연동면</t>
        </is>
      </c>
    </row>
    <row r="10604">
      <c r="A10604" s="3" t="n">
        <v>2022</v>
      </c>
      <c r="B10604" s="4" t="n">
        <v>131588</v>
      </c>
      <c r="C10604" s="4" t="n">
        <v>1450</v>
      </c>
      <c r="D10604" s="4" t="n">
        <v>438.625</v>
      </c>
      <c r="E10604" s="5" t="n">
        <v>300</v>
      </c>
      <c r="F10604" s="3" t="inlineStr">
        <is>
          <t>부강면</t>
        </is>
      </c>
      <c r="G10604" s="3" t="inlineStr">
        <is>
          <t>부강리</t>
        </is>
      </c>
      <c r="H10604" s="3" t="inlineStr">
        <is>
          <t>계획관리지역</t>
        </is>
      </c>
      <c r="I10604" s="3" t="inlineStr">
        <is>
          <t>잡종지</t>
        </is>
      </c>
      <c r="J10604" s="3" t="inlineStr">
        <is>
          <t>부강면</t>
        </is>
      </c>
    </row>
    <row r="10605">
      <c r="A10605" s="3" t="n">
        <v>2022</v>
      </c>
      <c r="B10605" s="4" t="n">
        <v>21326</v>
      </c>
      <c r="C10605" s="4" t="n">
        <v>235</v>
      </c>
      <c r="D10605" s="4" t="n">
        <v>71.08749999999999</v>
      </c>
      <c r="E10605" s="5" t="n">
        <v>300</v>
      </c>
      <c r="F10605" s="3" t="inlineStr">
        <is>
          <t>부강면</t>
        </is>
      </c>
      <c r="G10605" s="3" t="inlineStr">
        <is>
          <t>부강리</t>
        </is>
      </c>
      <c r="H10605" s="3" t="inlineStr">
        <is>
          <t>계획관리지역</t>
        </is>
      </c>
      <c r="I10605" s="3" t="inlineStr">
        <is>
          <t>도로</t>
        </is>
      </c>
      <c r="J10605" s="3" t="inlineStr">
        <is>
          <t>부강면</t>
        </is>
      </c>
    </row>
    <row r="10606">
      <c r="A10606" s="3" t="n">
        <v>2022</v>
      </c>
      <c r="B10606" s="4" t="n">
        <v>2450</v>
      </c>
      <c r="C10606" s="4" t="n">
        <v>27</v>
      </c>
      <c r="D10606" s="4" t="n">
        <v>8.1675</v>
      </c>
      <c r="E10606" s="5" t="n">
        <v>300</v>
      </c>
      <c r="F10606" s="3" t="inlineStr">
        <is>
          <t>부강면</t>
        </is>
      </c>
      <c r="G10606" s="3" t="inlineStr">
        <is>
          <t>부강리</t>
        </is>
      </c>
      <c r="H10606" s="3" t="inlineStr">
        <is>
          <t>계획관리지역</t>
        </is>
      </c>
      <c r="I10606" s="3" t="inlineStr">
        <is>
          <t>공장용지</t>
        </is>
      </c>
      <c r="J10606" s="3" t="inlineStr">
        <is>
          <t>부강면</t>
        </is>
      </c>
    </row>
    <row r="10607">
      <c r="A10607" s="3" t="n">
        <v>2022</v>
      </c>
      <c r="B10607" s="4" t="n">
        <v>5900</v>
      </c>
      <c r="C10607" s="4" t="n">
        <v>146</v>
      </c>
      <c r="D10607" s="4" t="n">
        <v>44.165</v>
      </c>
      <c r="E10607" s="5" t="n">
        <v>133.6</v>
      </c>
      <c r="F10607" s="3" t="inlineStr">
        <is>
          <t>금남면</t>
        </is>
      </c>
      <c r="G10607" s="3" t="inlineStr">
        <is>
          <t>원봉리</t>
        </is>
      </c>
      <c r="H10607" s="3" t="inlineStr">
        <is>
          <t>보전관리지역</t>
        </is>
      </c>
      <c r="I10607" s="3" t="inlineStr">
        <is>
          <t>임야</t>
        </is>
      </c>
      <c r="J10607" s="3" t="inlineStr">
        <is>
          <t>금남면</t>
        </is>
      </c>
    </row>
    <row r="10608">
      <c r="A10608" s="3" t="n">
        <v>2022</v>
      </c>
      <c r="B10608" s="4" t="n">
        <v>18000</v>
      </c>
      <c r="C10608" s="4" t="n">
        <v>441</v>
      </c>
      <c r="D10608" s="4" t="n">
        <v>133.4025</v>
      </c>
      <c r="E10608" s="5" t="n">
        <v>134.9</v>
      </c>
      <c r="F10608" s="3" t="inlineStr">
        <is>
          <t>금남면</t>
        </is>
      </c>
      <c r="G10608" s="3" t="inlineStr">
        <is>
          <t>원봉리</t>
        </is>
      </c>
      <c r="H10608" s="3" t="inlineStr">
        <is>
          <t>계획관리지역</t>
        </is>
      </c>
      <c r="I10608" s="3" t="inlineStr">
        <is>
          <t>대</t>
        </is>
      </c>
      <c r="J10608" s="3" t="inlineStr">
        <is>
          <t>금남면</t>
        </is>
      </c>
    </row>
    <row r="10609">
      <c r="A10609" s="3" t="n">
        <v>2022</v>
      </c>
      <c r="B10609" s="4" t="n">
        <v>18500</v>
      </c>
      <c r="C10609" s="4" t="n">
        <v>384</v>
      </c>
      <c r="D10609" s="4" t="n">
        <v>116.16</v>
      </c>
      <c r="E10609" s="5" t="n">
        <v>159.3</v>
      </c>
      <c r="F10609" s="3" t="inlineStr">
        <is>
          <t>연서면</t>
        </is>
      </c>
      <c r="G10609" s="3" t="inlineStr">
        <is>
          <t>성제리</t>
        </is>
      </c>
      <c r="H10609" s="3" t="inlineStr">
        <is>
          <t>계획관리지역</t>
        </is>
      </c>
      <c r="I10609" s="3" t="inlineStr">
        <is>
          <t>전</t>
        </is>
      </c>
      <c r="J10609" s="3" t="inlineStr">
        <is>
          <t>연서면</t>
        </is>
      </c>
    </row>
    <row r="10610">
      <c r="A10610" s="3" t="n">
        <v>2022</v>
      </c>
      <c r="B10610" s="4" t="n">
        <v>31230</v>
      </c>
      <c r="C10610" s="4" t="n">
        <v>1721</v>
      </c>
      <c r="D10610" s="4" t="n">
        <v>520.6025</v>
      </c>
      <c r="E10610" s="5" t="n">
        <v>60</v>
      </c>
      <c r="F10610" s="3" t="inlineStr">
        <is>
          <t>전의면</t>
        </is>
      </c>
      <c r="G10610" s="3" t="inlineStr">
        <is>
          <t>금사리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전의면</t>
        </is>
      </c>
    </row>
    <row r="10611">
      <c r="A10611" s="3" t="n">
        <v>2022</v>
      </c>
      <c r="B10611" s="4" t="n">
        <v>346191</v>
      </c>
      <c r="C10611" s="4" t="n">
        <v>1160</v>
      </c>
      <c r="D10611" s="4" t="n">
        <v>350.9</v>
      </c>
      <c r="E10611" s="5" t="n">
        <v>986.6</v>
      </c>
      <c r="F10611" s="3" t="inlineStr">
        <is>
          <t>금남면</t>
        </is>
      </c>
      <c r="G10611" s="3" t="inlineStr">
        <is>
          <t>용포리</t>
        </is>
      </c>
      <c r="H10611" s="3" t="inlineStr">
        <is>
          <t>제2종일반주거지역</t>
        </is>
      </c>
      <c r="I10611" s="3" t="inlineStr">
        <is>
          <t>대</t>
        </is>
      </c>
      <c r="J10611" s="3" t="inlineStr">
        <is>
          <t>금남면</t>
        </is>
      </c>
    </row>
    <row r="10612">
      <c r="A10612" s="3" t="n">
        <v>2022</v>
      </c>
      <c r="B10612" s="4" t="n">
        <v>512876</v>
      </c>
      <c r="C10612" s="4" t="n">
        <v>1718</v>
      </c>
      <c r="D10612" s="4" t="n">
        <v>519.6949999999999</v>
      </c>
      <c r="E10612" s="5" t="n">
        <v>986.9</v>
      </c>
      <c r="F10612" s="3" t="inlineStr">
        <is>
          <t>금남면</t>
        </is>
      </c>
      <c r="G10612" s="3" t="inlineStr">
        <is>
          <t>용포리</t>
        </is>
      </c>
      <c r="H10612" s="3" t="inlineStr">
        <is>
          <t>제2종일반주거지역</t>
        </is>
      </c>
      <c r="I10612" s="3" t="inlineStr">
        <is>
          <t>답</t>
        </is>
      </c>
      <c r="J10612" s="3" t="inlineStr">
        <is>
          <t>금남면</t>
        </is>
      </c>
    </row>
    <row r="10613">
      <c r="A10613" s="3" t="n">
        <v>2022</v>
      </c>
      <c r="B10613" s="4" t="n">
        <v>988</v>
      </c>
      <c r="C10613" s="4" t="n">
        <v>1</v>
      </c>
      <c r="D10613" s="4" t="n">
        <v>0.3025</v>
      </c>
      <c r="E10613" s="5" t="n">
        <v>3266.1</v>
      </c>
      <c r="F10613" s="3" t="inlineStr">
        <is>
          <t>금남면</t>
        </is>
      </c>
      <c r="G10613" s="3" t="inlineStr">
        <is>
          <t>용포리</t>
        </is>
      </c>
      <c r="H10613" s="3" t="inlineStr">
        <is>
          <t>제2종일반주거지역</t>
        </is>
      </c>
      <c r="I10613" s="3" t="inlineStr">
        <is>
          <t>답</t>
        </is>
      </c>
      <c r="J10613" s="3" t="inlineStr">
        <is>
          <t>금남면</t>
        </is>
      </c>
    </row>
    <row r="10614">
      <c r="A10614" s="3" t="n">
        <v>2022</v>
      </c>
      <c r="B10614" s="4" t="n">
        <v>17753</v>
      </c>
      <c r="C10614" s="4" t="n">
        <v>39</v>
      </c>
      <c r="D10614" s="4" t="n">
        <v>11.7975</v>
      </c>
      <c r="E10614" s="5" t="n">
        <v>1504.8</v>
      </c>
      <c r="F10614" s="3" t="inlineStr">
        <is>
          <t>금남면</t>
        </is>
      </c>
      <c r="G10614" s="3" t="inlineStr">
        <is>
          <t>용포리</t>
        </is>
      </c>
      <c r="H10614" s="3" t="inlineStr">
        <is>
          <t>제2종일반주거지역</t>
        </is>
      </c>
      <c r="I10614" s="3" t="inlineStr">
        <is>
          <t>답</t>
        </is>
      </c>
      <c r="J10614" s="3" t="inlineStr">
        <is>
          <t>금남면</t>
        </is>
      </c>
    </row>
    <row r="10615">
      <c r="A10615" s="3" t="n">
        <v>2022</v>
      </c>
      <c r="B10615" s="4" t="n">
        <v>196274</v>
      </c>
      <c r="C10615" s="4" t="n">
        <v>657</v>
      </c>
      <c r="D10615" s="4" t="n">
        <v>198.7425</v>
      </c>
      <c r="E10615" s="5" t="n">
        <v>987.6</v>
      </c>
      <c r="F10615" s="3" t="inlineStr">
        <is>
          <t>금남면</t>
        </is>
      </c>
      <c r="G10615" s="3" t="inlineStr">
        <is>
          <t>용포리</t>
        </is>
      </c>
      <c r="H10615" s="3" t="inlineStr">
        <is>
          <t>제2종일반주거지역</t>
        </is>
      </c>
      <c r="I10615" s="3" t="inlineStr">
        <is>
          <t>답</t>
        </is>
      </c>
      <c r="J10615" s="3" t="inlineStr">
        <is>
          <t>금남면</t>
        </is>
      </c>
    </row>
    <row r="10616">
      <c r="A10616" s="3" t="n">
        <v>2022</v>
      </c>
      <c r="B10616" s="4" t="n">
        <v>5918</v>
      </c>
      <c r="C10616" s="4" t="n">
        <v>19</v>
      </c>
      <c r="D10616" s="4" t="n">
        <v>5.7475</v>
      </c>
      <c r="E10616" s="5" t="n">
        <v>1029.7</v>
      </c>
      <c r="F10616" s="3" t="inlineStr">
        <is>
          <t>금남면</t>
        </is>
      </c>
      <c r="G10616" s="3" t="inlineStr">
        <is>
          <t>용포리</t>
        </is>
      </c>
      <c r="H10616" s="3" t="inlineStr">
        <is>
          <t>제2종일반주거지역</t>
        </is>
      </c>
      <c r="I10616" s="3" t="inlineStr">
        <is>
          <t>답</t>
        </is>
      </c>
      <c r="J10616" s="3" t="inlineStr">
        <is>
          <t>금남면</t>
        </is>
      </c>
    </row>
    <row r="10617">
      <c r="A10617" s="3" t="n">
        <v>2022</v>
      </c>
      <c r="B10617" s="4" t="n">
        <v>40000</v>
      </c>
      <c r="C10617" s="4" t="n">
        <v>603</v>
      </c>
      <c r="D10617" s="4" t="n">
        <v>182.4075</v>
      </c>
      <c r="E10617" s="5" t="n">
        <v>219.3</v>
      </c>
      <c r="F10617" s="3" t="inlineStr">
        <is>
          <t>조치원읍</t>
        </is>
      </c>
      <c r="G10617" s="3" t="inlineStr">
        <is>
          <t>신흥리</t>
        </is>
      </c>
      <c r="H10617" s="3" t="inlineStr">
        <is>
          <t>제2종일반주거지역</t>
        </is>
      </c>
      <c r="I10617" s="3" t="inlineStr">
        <is>
          <t>임야</t>
        </is>
      </c>
      <c r="J10617" s="3" t="inlineStr">
        <is>
          <t>조치원읍</t>
        </is>
      </c>
    </row>
    <row r="10618">
      <c r="A10618" s="3" t="n">
        <v>2023</v>
      </c>
      <c r="B10618" s="4" t="n">
        <v>6000</v>
      </c>
      <c r="C10618" s="4" t="n">
        <v>1111</v>
      </c>
      <c r="D10618" s="4" t="n">
        <v>336.0775</v>
      </c>
      <c r="E10618" s="5" t="n">
        <v>17.9</v>
      </c>
      <c r="F10618" s="3" t="inlineStr">
        <is>
          <t>유구읍</t>
        </is>
      </c>
      <c r="G10618" s="3" t="inlineStr">
        <is>
          <t>입석리</t>
        </is>
      </c>
      <c r="H10618" s="3" t="inlineStr">
        <is>
          <t>보전관리지역</t>
        </is>
      </c>
      <c r="I10618" s="3" t="inlineStr">
        <is>
          <t>답</t>
        </is>
      </c>
      <c r="J10618" s="3" t="inlineStr">
        <is>
          <t>유구읍</t>
        </is>
      </c>
    </row>
    <row r="10619">
      <c r="A10619" s="3" t="n">
        <v>2023</v>
      </c>
      <c r="B10619" s="4" t="n">
        <v>10000</v>
      </c>
      <c r="C10619" s="4" t="n">
        <v>436</v>
      </c>
      <c r="D10619" s="4" t="n">
        <v>131.89</v>
      </c>
      <c r="E10619" s="5" t="n">
        <v>75.8</v>
      </c>
      <c r="F10619" s="3" t="inlineStr">
        <is>
          <t>유구읍</t>
        </is>
      </c>
      <c r="G10619" s="3" t="inlineStr">
        <is>
          <t>백교리</t>
        </is>
      </c>
      <c r="H10619" s="3" t="inlineStr">
        <is>
          <t>계획관리지역</t>
        </is>
      </c>
      <c r="I10619" s="3" t="inlineStr">
        <is>
          <t>대</t>
        </is>
      </c>
      <c r="J10619" s="3" t="inlineStr">
        <is>
          <t>유구읍</t>
        </is>
      </c>
    </row>
    <row r="10620">
      <c r="A10620" s="3" t="n">
        <v>2023</v>
      </c>
      <c r="B10620" s="4" t="n">
        <v>3000</v>
      </c>
      <c r="C10620" s="4" t="n">
        <v>152</v>
      </c>
      <c r="D10620" s="4" t="n">
        <v>45.98</v>
      </c>
      <c r="E10620" s="5" t="n">
        <v>65.2</v>
      </c>
      <c r="F10620" s="3" t="inlineStr">
        <is>
          <t>유구읍</t>
        </is>
      </c>
      <c r="G10620" s="3" t="inlineStr">
        <is>
          <t>백교리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유구읍</t>
        </is>
      </c>
    </row>
    <row r="10621">
      <c r="A10621" s="3" t="n">
        <v>2023</v>
      </c>
      <c r="B10621" s="4" t="n">
        <v>3000</v>
      </c>
      <c r="C10621" s="4" t="n">
        <v>246</v>
      </c>
      <c r="D10621" s="4" t="n">
        <v>74.41499999999999</v>
      </c>
      <c r="E10621" s="5" t="n">
        <v>40.3</v>
      </c>
      <c r="F10621" s="3" t="inlineStr">
        <is>
          <t>유구읍</t>
        </is>
      </c>
      <c r="G10621" s="3" t="inlineStr">
        <is>
          <t>백교리</t>
        </is>
      </c>
      <c r="H10621" s="3" t="inlineStr">
        <is>
          <t>계획관리지역</t>
        </is>
      </c>
      <c r="I10621" s="3" t="inlineStr">
        <is>
          <t>임야</t>
        </is>
      </c>
      <c r="J10621" s="3" t="inlineStr">
        <is>
          <t>유구읍</t>
        </is>
      </c>
    </row>
    <row r="10622">
      <c r="A10622" s="3" t="n">
        <v>2023</v>
      </c>
      <c r="B10622" s="4" t="n">
        <v>6200</v>
      </c>
      <c r="C10622" s="4" t="n">
        <v>614</v>
      </c>
      <c r="D10622" s="4" t="n">
        <v>185.735</v>
      </c>
      <c r="E10622" s="5" t="n">
        <v>33.4</v>
      </c>
      <c r="F10622" s="3" t="inlineStr">
        <is>
          <t>유구읍</t>
        </is>
      </c>
      <c r="G10622" s="3" t="inlineStr">
        <is>
          <t>명곡리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유구읍</t>
        </is>
      </c>
    </row>
    <row r="10623">
      <c r="A10623" s="3" t="n">
        <v>2023</v>
      </c>
      <c r="B10623" s="4" t="n">
        <v>6000</v>
      </c>
      <c r="C10623" s="4" t="n">
        <v>595</v>
      </c>
      <c r="D10623" s="4" t="n">
        <v>179.9875</v>
      </c>
      <c r="E10623" s="5" t="n">
        <v>33.3</v>
      </c>
      <c r="F10623" s="3" t="inlineStr">
        <is>
          <t>유구읍</t>
        </is>
      </c>
      <c r="G10623" s="3" t="inlineStr">
        <is>
          <t>명곡리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유구읍</t>
        </is>
      </c>
    </row>
    <row r="10624">
      <c r="A10624" s="3" t="n">
        <v>2023</v>
      </c>
      <c r="B10624" s="4" t="n">
        <v>7000</v>
      </c>
      <c r="C10624" s="4" t="n">
        <v>661</v>
      </c>
      <c r="D10624" s="4" t="n">
        <v>199.9525</v>
      </c>
      <c r="E10624" s="5" t="n">
        <v>35</v>
      </c>
      <c r="F10624" s="3" t="inlineStr">
        <is>
          <t>유구읍</t>
        </is>
      </c>
      <c r="G10624" s="3" t="inlineStr">
        <is>
          <t>명곡리</t>
        </is>
      </c>
      <c r="H10624" s="3" t="inlineStr">
        <is>
          <t>계획관리지역</t>
        </is>
      </c>
      <c r="I10624" s="3" t="inlineStr">
        <is>
          <t>전</t>
        </is>
      </c>
      <c r="J10624" s="3" t="inlineStr">
        <is>
          <t>유구읍</t>
        </is>
      </c>
    </row>
    <row r="10625">
      <c r="A10625" s="3" t="n">
        <v>2024</v>
      </c>
      <c r="B10625" s="4" t="n">
        <v>2200</v>
      </c>
      <c r="C10625" s="4" t="n">
        <v>878</v>
      </c>
      <c r="D10625" s="4" t="n">
        <v>265.595</v>
      </c>
      <c r="E10625" s="5" t="n">
        <v>8.300000000000001</v>
      </c>
      <c r="F10625" s="3" t="inlineStr">
        <is>
          <t>유구읍</t>
        </is>
      </c>
      <c r="G10625" s="3" t="inlineStr">
        <is>
          <t>덕곡리</t>
        </is>
      </c>
      <c r="H10625" s="3" t="inlineStr">
        <is>
          <t>생산관리지역</t>
        </is>
      </c>
      <c r="I10625" s="3" t="inlineStr">
        <is>
          <t>전</t>
        </is>
      </c>
      <c r="J10625" s="3" t="inlineStr">
        <is>
          <t>유구읍</t>
        </is>
      </c>
    </row>
    <row r="10626">
      <c r="A10626" s="3" t="n">
        <v>2024</v>
      </c>
      <c r="B10626" s="4" t="n">
        <v>4000</v>
      </c>
      <c r="C10626" s="4" t="n">
        <v>1337</v>
      </c>
      <c r="D10626" s="4" t="n">
        <v>404.4425</v>
      </c>
      <c r="E10626" s="5" t="n">
        <v>9.9</v>
      </c>
      <c r="F10626" s="3" t="inlineStr">
        <is>
          <t>유구읍</t>
        </is>
      </c>
      <c r="G10626" s="3" t="inlineStr">
        <is>
          <t>만천리</t>
        </is>
      </c>
      <c r="H10626" s="3" t="inlineStr">
        <is>
          <t>농림지역</t>
        </is>
      </c>
      <c r="I10626" s="3" t="inlineStr">
        <is>
          <t>답</t>
        </is>
      </c>
      <c r="J10626" s="3" t="inlineStr">
        <is>
          <t>유구읍</t>
        </is>
      </c>
    </row>
    <row r="10627">
      <c r="A10627" s="3" t="n">
        <v>2024</v>
      </c>
      <c r="B10627" s="4" t="n">
        <v>25023</v>
      </c>
      <c r="C10627" s="4" t="n">
        <v>4152</v>
      </c>
      <c r="D10627" s="4" t="n">
        <v>1255.98</v>
      </c>
      <c r="E10627" s="5" t="n">
        <v>19.9</v>
      </c>
      <c r="F10627" s="3" t="inlineStr">
        <is>
          <t>유구읍</t>
        </is>
      </c>
      <c r="G10627" s="3" t="inlineStr">
        <is>
          <t>유구리</t>
        </is>
      </c>
      <c r="H10627" s="3" t="inlineStr">
        <is>
          <t>계획관리지역</t>
        </is>
      </c>
      <c r="I10627" s="3" t="inlineStr">
        <is>
          <t>답</t>
        </is>
      </c>
      <c r="J10627" s="3" t="inlineStr">
        <is>
          <t>유구읍</t>
        </is>
      </c>
    </row>
    <row r="10628">
      <c r="A10628" s="3" t="n">
        <v>2024</v>
      </c>
      <c r="B10628" s="4" t="n">
        <v>4977</v>
      </c>
      <c r="C10628" s="4" t="n">
        <v>1031</v>
      </c>
      <c r="D10628" s="4" t="n">
        <v>311.8775</v>
      </c>
      <c r="E10628" s="5" t="n">
        <v>16</v>
      </c>
      <c r="F10628" s="3" t="inlineStr">
        <is>
          <t>유구읍</t>
        </is>
      </c>
      <c r="G10628" s="3" t="inlineStr">
        <is>
          <t>유구리</t>
        </is>
      </c>
      <c r="H10628" s="3" t="inlineStr">
        <is>
          <t>계획관리지역</t>
        </is>
      </c>
      <c r="I10628" s="3" t="inlineStr">
        <is>
          <t>답</t>
        </is>
      </c>
      <c r="J10628" s="3" t="inlineStr">
        <is>
          <t>유구읍</t>
        </is>
      </c>
    </row>
    <row r="10629">
      <c r="A10629" s="3" t="n">
        <v>2024</v>
      </c>
      <c r="B10629" s="4" t="n">
        <v>6900</v>
      </c>
      <c r="C10629" s="4" t="n">
        <v>1140</v>
      </c>
      <c r="D10629" s="4" t="n">
        <v>344.85</v>
      </c>
      <c r="E10629" s="5" t="n">
        <v>20</v>
      </c>
      <c r="F10629" s="3" t="inlineStr">
        <is>
          <t>유구읍</t>
        </is>
      </c>
      <c r="G10629" s="3" t="inlineStr">
        <is>
          <t>신영리</t>
        </is>
      </c>
      <c r="H10629" s="3" t="inlineStr">
        <is>
          <t>계획관리지역</t>
        </is>
      </c>
      <c r="I10629" s="3" t="inlineStr">
        <is>
          <t>대</t>
        </is>
      </c>
      <c r="J10629" s="3" t="inlineStr">
        <is>
          <t>유구읍</t>
        </is>
      </c>
    </row>
    <row r="10630">
      <c r="A10630" s="3" t="n">
        <v>2024</v>
      </c>
      <c r="B10630" s="4" t="n">
        <v>10970</v>
      </c>
      <c r="C10630" s="4" t="n">
        <v>1037</v>
      </c>
      <c r="D10630" s="4" t="n">
        <v>313.6925</v>
      </c>
      <c r="E10630" s="5" t="n">
        <v>35</v>
      </c>
      <c r="F10630" s="3" t="inlineStr">
        <is>
          <t>유구읍</t>
        </is>
      </c>
      <c r="G10630" s="3" t="inlineStr">
        <is>
          <t>석남리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유구읍</t>
        </is>
      </c>
    </row>
    <row r="10631">
      <c r="A10631" s="3" t="n">
        <v>2024</v>
      </c>
      <c r="B10631" s="4" t="n">
        <v>12540</v>
      </c>
      <c r="C10631" s="4" t="n">
        <v>3777</v>
      </c>
      <c r="D10631" s="4" t="n">
        <v>1142.5425</v>
      </c>
      <c r="E10631" s="5" t="n">
        <v>11</v>
      </c>
      <c r="F10631" s="3" t="inlineStr">
        <is>
          <t>유구읍</t>
        </is>
      </c>
      <c r="G10631" s="3" t="inlineStr">
        <is>
          <t>입석리</t>
        </is>
      </c>
      <c r="H10631" s="3" t="inlineStr">
        <is>
          <t>농림지역</t>
        </is>
      </c>
      <c r="I10631" s="3" t="inlineStr">
        <is>
          <t>답</t>
        </is>
      </c>
      <c r="J10631" s="3" t="inlineStr">
        <is>
          <t>유구읍</t>
        </is>
      </c>
    </row>
    <row r="10632">
      <c r="A10632" s="3" t="n">
        <v>2024</v>
      </c>
      <c r="B10632" s="4" t="n">
        <v>2700</v>
      </c>
      <c r="C10632" s="4" t="n">
        <v>909</v>
      </c>
      <c r="D10632" s="4" t="n">
        <v>274.9725</v>
      </c>
      <c r="E10632" s="5" t="n">
        <v>9.800000000000001</v>
      </c>
      <c r="F10632" s="3" t="inlineStr">
        <is>
          <t>유구읍</t>
        </is>
      </c>
      <c r="G10632" s="3" t="inlineStr">
        <is>
          <t>추계리</t>
        </is>
      </c>
      <c r="H10632" s="3" t="inlineStr">
        <is>
          <t>농림지역</t>
        </is>
      </c>
      <c r="I10632" s="3" t="inlineStr">
        <is>
          <t>임야</t>
        </is>
      </c>
      <c r="J10632" s="3" t="inlineStr">
        <is>
          <t>유구읍</t>
        </is>
      </c>
    </row>
    <row r="10633">
      <c r="A10633" s="3" t="n">
        <v>2024</v>
      </c>
      <c r="B10633" s="4" t="n">
        <v>2920</v>
      </c>
      <c r="C10633" s="4" t="n">
        <v>982</v>
      </c>
      <c r="D10633" s="4" t="n">
        <v>297.055</v>
      </c>
      <c r="E10633" s="5" t="n">
        <v>9.800000000000001</v>
      </c>
      <c r="F10633" s="3" t="inlineStr">
        <is>
          <t>유구읍</t>
        </is>
      </c>
      <c r="G10633" s="3" t="inlineStr">
        <is>
          <t>추계리</t>
        </is>
      </c>
      <c r="H10633" s="3" t="inlineStr">
        <is>
          <t>보전관리지역</t>
        </is>
      </c>
      <c r="I10633" s="3" t="inlineStr">
        <is>
          <t>대</t>
        </is>
      </c>
      <c r="J10633" s="3" t="inlineStr">
        <is>
          <t>유구읍</t>
        </is>
      </c>
    </row>
    <row r="10634">
      <c r="A10634" s="3" t="n">
        <v>2024</v>
      </c>
      <c r="B10634" s="4" t="n">
        <v>3220</v>
      </c>
      <c r="C10634" s="4" t="n">
        <v>1081</v>
      </c>
      <c r="D10634" s="4" t="n">
        <v>327.0025</v>
      </c>
      <c r="E10634" s="5" t="n">
        <v>9.800000000000001</v>
      </c>
      <c r="F10634" s="3" t="inlineStr">
        <is>
          <t>유구읍</t>
        </is>
      </c>
      <c r="G10634" s="3" t="inlineStr">
        <is>
          <t>추계리</t>
        </is>
      </c>
      <c r="H10634" s="3" t="inlineStr">
        <is>
          <t>농림지역</t>
        </is>
      </c>
      <c r="I10634" s="3" t="inlineStr">
        <is>
          <t>임야</t>
        </is>
      </c>
      <c r="J10634" s="3" t="inlineStr">
        <is>
          <t>유구읍</t>
        </is>
      </c>
    </row>
    <row r="10635">
      <c r="A10635" s="3" t="n">
        <v>2024</v>
      </c>
      <c r="B10635" s="4" t="n">
        <v>5800</v>
      </c>
      <c r="C10635" s="4" t="n">
        <v>1950</v>
      </c>
      <c r="D10635" s="4" t="n">
        <v>589.875</v>
      </c>
      <c r="E10635" s="5" t="n">
        <v>9.800000000000001</v>
      </c>
      <c r="F10635" s="3" t="inlineStr">
        <is>
          <t>유구읍</t>
        </is>
      </c>
      <c r="G10635" s="3" t="inlineStr">
        <is>
          <t>추계리</t>
        </is>
      </c>
      <c r="H10635" s="3" t="inlineStr">
        <is>
          <t>보전관리지역</t>
        </is>
      </c>
      <c r="I10635" s="3" t="inlineStr">
        <is>
          <t>임야</t>
        </is>
      </c>
      <c r="J10635" s="3" t="inlineStr">
        <is>
          <t>유구읍</t>
        </is>
      </c>
    </row>
    <row r="10636">
      <c r="A10636" s="3" t="n">
        <v>2024</v>
      </c>
      <c r="B10636" s="4" t="n">
        <v>2720</v>
      </c>
      <c r="C10636" s="4" t="n">
        <v>913</v>
      </c>
      <c r="D10636" s="4" t="n">
        <v>276.1825</v>
      </c>
      <c r="E10636" s="5" t="n">
        <v>9.800000000000001</v>
      </c>
      <c r="F10636" s="3" t="inlineStr">
        <is>
          <t>유구읍</t>
        </is>
      </c>
      <c r="G10636" s="3" t="inlineStr">
        <is>
          <t>추계리</t>
        </is>
      </c>
      <c r="H10636" s="3" t="inlineStr">
        <is>
          <t>보전관리지역</t>
        </is>
      </c>
      <c r="I10636" s="3" t="inlineStr">
        <is>
          <t>대</t>
        </is>
      </c>
      <c r="J10636" s="3" t="inlineStr">
        <is>
          <t>유구읍</t>
        </is>
      </c>
    </row>
    <row r="10637">
      <c r="A10637" s="3" t="n">
        <v>2023</v>
      </c>
      <c r="B10637" s="4" t="n">
        <v>22000</v>
      </c>
      <c r="C10637" s="4" t="n">
        <v>1028</v>
      </c>
      <c r="D10637" s="4" t="n">
        <v>310.97</v>
      </c>
      <c r="E10637" s="5" t="n">
        <v>70.7</v>
      </c>
      <c r="F10637" s="3" t="inlineStr">
        <is>
          <t>연기면</t>
        </is>
      </c>
      <c r="G10637" s="3" t="inlineStr">
        <is>
          <t>눌왕리</t>
        </is>
      </c>
      <c r="H10637" s="3" t="inlineStr">
        <is>
          <t>계획관리지역</t>
        </is>
      </c>
      <c r="I10637" s="3" t="inlineStr">
        <is>
          <t>전</t>
        </is>
      </c>
      <c r="J10637" s="3" t="inlineStr">
        <is>
          <t>연기면</t>
        </is>
      </c>
    </row>
    <row r="10638">
      <c r="A10638" s="3" t="n">
        <v>2023</v>
      </c>
      <c r="B10638" s="4" t="n">
        <v>54899</v>
      </c>
      <c r="C10638" s="4" t="n">
        <v>458</v>
      </c>
      <c r="D10638" s="4" t="n">
        <v>138.545</v>
      </c>
      <c r="E10638" s="5" t="n">
        <v>396.3</v>
      </c>
      <c r="F10638" s="3" t="inlineStr">
        <is>
          <t>연동면</t>
        </is>
      </c>
      <c r="G10638" s="3" t="inlineStr">
        <is>
          <t>명학리</t>
        </is>
      </c>
      <c r="H10638" s="3" t="inlineStr">
        <is>
          <t>계획관리지역</t>
        </is>
      </c>
      <c r="I10638" s="3" t="inlineStr">
        <is>
          <t>대</t>
        </is>
      </c>
      <c r="J10638" s="3" t="inlineStr">
        <is>
          <t>연동면</t>
        </is>
      </c>
    </row>
    <row r="10639">
      <c r="A10639" s="3" t="n">
        <v>2023</v>
      </c>
      <c r="B10639" s="4" t="n">
        <v>6000</v>
      </c>
      <c r="C10639" s="4" t="n">
        <v>251</v>
      </c>
      <c r="D10639" s="4" t="n">
        <v>75.92749999999999</v>
      </c>
      <c r="E10639" s="5" t="n">
        <v>79</v>
      </c>
      <c r="F10639" s="3" t="inlineStr">
        <is>
          <t>금남면</t>
        </is>
      </c>
      <c r="G10639" s="3" t="inlineStr">
        <is>
          <t>영대리</t>
        </is>
      </c>
      <c r="H10639" s="3" t="inlineStr">
        <is>
          <t>개발제한구역</t>
        </is>
      </c>
      <c r="I10639" s="3" t="inlineStr">
        <is>
          <t>전</t>
        </is>
      </c>
      <c r="J10639" s="3" t="inlineStr">
        <is>
          <t>금남면</t>
        </is>
      </c>
    </row>
    <row r="10640">
      <c r="A10640" s="3" t="n">
        <v>2023</v>
      </c>
      <c r="B10640" s="4" t="n">
        <v>160</v>
      </c>
      <c r="C10640" s="4" t="n">
        <v>3</v>
      </c>
      <c r="D10640" s="4" t="n">
        <v>0.9075</v>
      </c>
      <c r="E10640" s="5" t="n">
        <v>176.3</v>
      </c>
      <c r="F10640" s="3" t="inlineStr">
        <is>
          <t>금남면</t>
        </is>
      </c>
      <c r="G10640" s="3" t="inlineStr">
        <is>
          <t>원봉리</t>
        </is>
      </c>
      <c r="H10640" s="3" t="inlineStr">
        <is>
          <t>계획관리지역</t>
        </is>
      </c>
      <c r="I10640" s="3" t="inlineStr">
        <is>
          <t>도로</t>
        </is>
      </c>
      <c r="J10640" s="3" t="inlineStr">
        <is>
          <t>금남면</t>
        </is>
      </c>
    </row>
    <row r="10641">
      <c r="A10641" s="3" t="n">
        <v>2023</v>
      </c>
      <c r="B10641" s="4" t="n">
        <v>19000</v>
      </c>
      <c r="C10641" s="4" t="n">
        <v>1002</v>
      </c>
      <c r="D10641" s="4" t="n">
        <v>303.105</v>
      </c>
      <c r="E10641" s="5" t="n">
        <v>62.7</v>
      </c>
      <c r="F10641" s="3" t="inlineStr">
        <is>
          <t>연기면</t>
        </is>
      </c>
      <c r="G10641" s="3" t="inlineStr">
        <is>
          <t>수산리</t>
        </is>
      </c>
      <c r="H10641" s="3" t="inlineStr">
        <is>
          <t>보전관리지역</t>
        </is>
      </c>
      <c r="I10641" s="3" t="inlineStr">
        <is>
          <t>전</t>
        </is>
      </c>
      <c r="J10641" s="3" t="inlineStr">
        <is>
          <t>연기면</t>
        </is>
      </c>
    </row>
    <row r="10642">
      <c r="A10642" s="3" t="n">
        <v>2023</v>
      </c>
      <c r="B10642" s="4" t="n">
        <v>5700</v>
      </c>
      <c r="C10642" s="4" t="n">
        <v>388</v>
      </c>
      <c r="D10642" s="4" t="n">
        <v>117.37</v>
      </c>
      <c r="E10642" s="5" t="n">
        <v>48.6</v>
      </c>
      <c r="F10642" s="3" t="inlineStr">
        <is>
          <t>금남면</t>
        </is>
      </c>
      <c r="G10642" s="3" t="inlineStr">
        <is>
          <t>두만리</t>
        </is>
      </c>
      <c r="H10642" s="3" t="inlineStr">
        <is>
          <t>개발제한구역</t>
        </is>
      </c>
      <c r="I10642" s="3" t="inlineStr">
        <is>
          <t>답</t>
        </is>
      </c>
      <c r="J10642" s="3" t="inlineStr">
        <is>
          <t>금남면</t>
        </is>
      </c>
    </row>
    <row r="10643">
      <c r="A10643" s="3" t="n">
        <v>2023</v>
      </c>
      <c r="B10643" s="4" t="n">
        <v>64092</v>
      </c>
      <c r="C10643" s="4" t="n">
        <v>499</v>
      </c>
      <c r="D10643" s="4" t="n">
        <v>150.9475</v>
      </c>
      <c r="E10643" s="5" t="n">
        <v>424.6</v>
      </c>
      <c r="F10643" s="3" t="inlineStr">
        <is>
          <t>전의면</t>
        </is>
      </c>
      <c r="G10643" s="3" t="inlineStr">
        <is>
          <t>관정리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전의면</t>
        </is>
      </c>
    </row>
    <row r="10644">
      <c r="A10644" s="3" t="n">
        <v>2023</v>
      </c>
      <c r="B10644" s="4" t="n">
        <v>12000</v>
      </c>
      <c r="C10644" s="4" t="n">
        <v>3967</v>
      </c>
      <c r="D10644" s="4" t="n">
        <v>1200.0175</v>
      </c>
      <c r="E10644" s="5" t="n">
        <v>10</v>
      </c>
      <c r="F10644" s="3" t="inlineStr">
        <is>
          <t>연서면</t>
        </is>
      </c>
      <c r="G10644" s="3" t="inlineStr">
        <is>
          <t>신대리</t>
        </is>
      </c>
      <c r="H10644" s="3" t="inlineStr">
        <is>
          <t>보전관리지역</t>
        </is>
      </c>
      <c r="I10644" s="3" t="inlineStr">
        <is>
          <t>임야</t>
        </is>
      </c>
      <c r="J10644" s="3" t="inlineStr">
        <is>
          <t>연서면</t>
        </is>
      </c>
    </row>
    <row r="10645">
      <c r="A10645" s="3" t="n">
        <v>2023</v>
      </c>
      <c r="B10645" s="4" t="n">
        <v>23100</v>
      </c>
      <c r="C10645" s="4" t="n">
        <v>677</v>
      </c>
      <c r="D10645" s="4" t="n">
        <v>204.7925</v>
      </c>
      <c r="E10645" s="5" t="n">
        <v>112.8</v>
      </c>
      <c r="F10645" s="3" t="inlineStr">
        <is>
          <t>장군면</t>
        </is>
      </c>
      <c r="G10645" s="3" t="inlineStr">
        <is>
          <t>금암리</t>
        </is>
      </c>
      <c r="H10645" s="3" t="inlineStr">
        <is>
          <t>농림지역</t>
        </is>
      </c>
      <c r="I10645" s="3" t="inlineStr">
        <is>
          <t>대</t>
        </is>
      </c>
      <c r="J10645" s="3" t="inlineStr">
        <is>
          <t>장군면</t>
        </is>
      </c>
    </row>
    <row r="10646">
      <c r="A10646" s="3" t="n">
        <v>2023</v>
      </c>
      <c r="B10646" s="4" t="n">
        <v>13440</v>
      </c>
      <c r="C10646" s="4" t="n">
        <v>532</v>
      </c>
      <c r="D10646" s="4" t="n">
        <v>160.93</v>
      </c>
      <c r="E10646" s="5" t="n">
        <v>83.5</v>
      </c>
      <c r="F10646" s="3" t="inlineStr">
        <is>
          <t>장군면</t>
        </is>
      </c>
      <c r="G10646" s="3" t="inlineStr">
        <is>
          <t>금암리</t>
        </is>
      </c>
      <c r="H10646" s="3" t="inlineStr">
        <is>
          <t>농림지역</t>
        </is>
      </c>
      <c r="I10646" s="3" t="inlineStr">
        <is>
          <t>대</t>
        </is>
      </c>
      <c r="J10646" s="3" t="inlineStr">
        <is>
          <t>장군면</t>
        </is>
      </c>
    </row>
    <row r="10647">
      <c r="A10647" s="3" t="n">
        <v>2023</v>
      </c>
      <c r="B10647" s="4" t="n">
        <v>63000</v>
      </c>
      <c r="C10647" s="4" t="n">
        <v>1894</v>
      </c>
      <c r="D10647" s="4" t="n">
        <v>572.9349999999999</v>
      </c>
      <c r="E10647" s="5" t="n">
        <v>110</v>
      </c>
      <c r="F10647" s="3" t="inlineStr">
        <is>
          <t>금남면</t>
        </is>
      </c>
      <c r="G10647" s="3" t="inlineStr">
        <is>
          <t>용담리</t>
        </is>
      </c>
      <c r="H10647" s="3" t="inlineStr">
        <is>
          <t>개발제한구역</t>
        </is>
      </c>
      <c r="I10647" s="3" t="inlineStr">
        <is>
          <t>답</t>
        </is>
      </c>
      <c r="J10647" s="3" t="inlineStr">
        <is>
          <t>금남면</t>
        </is>
      </c>
    </row>
    <row r="10648">
      <c r="A10648" s="3" t="n">
        <v>2024</v>
      </c>
      <c r="B10648" s="4" t="n">
        <v>10800</v>
      </c>
      <c r="C10648" s="4" t="n">
        <v>893</v>
      </c>
      <c r="D10648" s="4" t="n">
        <v>270.1325</v>
      </c>
      <c r="E10648" s="5" t="n">
        <v>40</v>
      </c>
      <c r="F10648" s="3" t="inlineStr">
        <is>
          <t>유구읍</t>
        </is>
      </c>
      <c r="G10648" s="3" t="inlineStr">
        <is>
          <t>문금리</t>
        </is>
      </c>
      <c r="H10648" s="3" t="inlineStr">
        <is>
          <t>개발제한구역</t>
        </is>
      </c>
      <c r="I10648" s="3" t="inlineStr">
        <is>
          <t>임야</t>
        </is>
      </c>
      <c r="J10648" s="3" t="inlineStr">
        <is>
          <t>유구읍</t>
        </is>
      </c>
    </row>
    <row r="10649">
      <c r="A10649" s="3" t="n">
        <v>2024</v>
      </c>
      <c r="B10649" s="4" t="n">
        <v>3500</v>
      </c>
      <c r="C10649" s="4" t="n">
        <v>441</v>
      </c>
      <c r="D10649" s="4" t="n">
        <v>133.4025</v>
      </c>
      <c r="E10649" s="5" t="n">
        <v>26.2</v>
      </c>
      <c r="F10649" s="3" t="inlineStr">
        <is>
          <t>유구읍</t>
        </is>
      </c>
      <c r="G10649" s="3" t="inlineStr">
        <is>
          <t>문금리</t>
        </is>
      </c>
      <c r="H10649" s="3" t="inlineStr">
        <is>
          <t>계획관리지역</t>
        </is>
      </c>
      <c r="I10649" s="3" t="inlineStr">
        <is>
          <t>전</t>
        </is>
      </c>
      <c r="J10649" s="3" t="inlineStr">
        <is>
          <t>유구읍</t>
        </is>
      </c>
    </row>
    <row r="10650">
      <c r="A10650" s="3" t="n">
        <v>2024</v>
      </c>
      <c r="B10650" s="4" t="n">
        <v>7000</v>
      </c>
      <c r="C10650" s="4" t="n">
        <v>536</v>
      </c>
      <c r="D10650" s="4" t="n">
        <v>162.14</v>
      </c>
      <c r="E10650" s="5" t="n">
        <v>43.2</v>
      </c>
      <c r="F10650" s="3" t="inlineStr">
        <is>
          <t>유구읍</t>
        </is>
      </c>
      <c r="G10650" s="3" t="inlineStr">
        <is>
          <t>유구리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유구읍</t>
        </is>
      </c>
    </row>
    <row r="10651">
      <c r="A10651" s="3" t="n">
        <v>2024</v>
      </c>
      <c r="B10651" s="4" t="n">
        <v>13200</v>
      </c>
      <c r="C10651" s="4" t="n">
        <v>525</v>
      </c>
      <c r="D10651" s="4" t="n">
        <v>158.8125</v>
      </c>
      <c r="E10651" s="5" t="n">
        <v>83.09999999999999</v>
      </c>
      <c r="F10651" s="3" t="inlineStr">
        <is>
          <t>유구읍</t>
        </is>
      </c>
      <c r="G10651" s="3" t="inlineStr">
        <is>
          <t>석남리</t>
        </is>
      </c>
      <c r="H10651" s="3" t="inlineStr">
        <is>
          <t>제2종일반주거지역</t>
        </is>
      </c>
      <c r="I10651" s="3" t="inlineStr">
        <is>
          <t>대</t>
        </is>
      </c>
      <c r="J10651" s="3" t="inlineStr">
        <is>
          <t>유구읍</t>
        </is>
      </c>
    </row>
    <row r="10652">
      <c r="A10652" s="3" t="n">
        <v>2024</v>
      </c>
      <c r="B10652" s="4" t="n">
        <v>5100</v>
      </c>
      <c r="C10652" s="4" t="n">
        <v>476</v>
      </c>
      <c r="D10652" s="4" t="n">
        <v>143.99</v>
      </c>
      <c r="E10652" s="5" t="n">
        <v>35.4</v>
      </c>
      <c r="F10652" s="3" t="inlineStr">
        <is>
          <t>유구읍</t>
        </is>
      </c>
      <c r="G10652" s="3" t="inlineStr">
        <is>
          <t>덕곡리</t>
        </is>
      </c>
      <c r="H10652" s="3" t="inlineStr">
        <is>
          <t>일반상업지역</t>
        </is>
      </c>
      <c r="I10652" s="3" t="inlineStr">
        <is>
          <t>대</t>
        </is>
      </c>
      <c r="J10652" s="3" t="inlineStr">
        <is>
          <t>유구읍</t>
        </is>
      </c>
    </row>
    <row r="10653">
      <c r="A10653" s="3" t="n">
        <v>2024</v>
      </c>
      <c r="B10653" s="4" t="n">
        <v>2015</v>
      </c>
      <c r="C10653" s="4" t="n">
        <v>444</v>
      </c>
      <c r="D10653" s="4" t="n">
        <v>134.31</v>
      </c>
      <c r="E10653" s="5" t="n">
        <v>15</v>
      </c>
      <c r="F10653" s="3" t="inlineStr">
        <is>
          <t>유구읍</t>
        </is>
      </c>
      <c r="G10653" s="3" t="inlineStr">
        <is>
          <t>노동리</t>
        </is>
      </c>
      <c r="H10653" s="3" t="inlineStr">
        <is>
          <t>계획관리지역</t>
        </is>
      </c>
      <c r="I10653" s="3" t="inlineStr">
        <is>
          <t>답</t>
        </is>
      </c>
      <c r="J10653" s="3" t="inlineStr">
        <is>
          <t>유구읍</t>
        </is>
      </c>
    </row>
    <row r="10654">
      <c r="A10654" s="3" t="n">
        <v>2024</v>
      </c>
      <c r="B10654" s="4" t="n">
        <v>4670</v>
      </c>
      <c r="C10654" s="4" t="n">
        <v>1029</v>
      </c>
      <c r="D10654" s="4" t="n">
        <v>311.2725</v>
      </c>
      <c r="E10654" s="5" t="n">
        <v>15</v>
      </c>
      <c r="F10654" s="3" t="inlineStr">
        <is>
          <t>유구읍</t>
        </is>
      </c>
      <c r="G10654" s="3" t="inlineStr">
        <is>
          <t>노동리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유구읍</t>
        </is>
      </c>
    </row>
    <row r="10655">
      <c r="A10655" s="3" t="n">
        <v>2024</v>
      </c>
      <c r="B10655" s="4" t="n">
        <v>577</v>
      </c>
      <c r="C10655" s="4" t="n">
        <v>127</v>
      </c>
      <c r="D10655" s="4" t="n">
        <v>38.4175</v>
      </c>
      <c r="E10655" s="5" t="n">
        <v>15</v>
      </c>
      <c r="F10655" s="3" t="inlineStr">
        <is>
          <t>유구읍</t>
        </is>
      </c>
      <c r="G10655" s="3" t="inlineStr">
        <is>
          <t>노동리</t>
        </is>
      </c>
      <c r="H10655" s="3" t="inlineStr">
        <is>
          <t>계획관리지역</t>
        </is>
      </c>
      <c r="I10655" s="3" t="inlineStr">
        <is>
          <t>답</t>
        </is>
      </c>
      <c r="J10655" s="3" t="inlineStr">
        <is>
          <t>유구읍</t>
        </is>
      </c>
    </row>
    <row r="10656">
      <c r="A10656" s="3" t="n">
        <v>2024</v>
      </c>
      <c r="B10656" s="4" t="n">
        <v>1979</v>
      </c>
      <c r="C10656" s="4" t="n">
        <v>436</v>
      </c>
      <c r="D10656" s="4" t="n">
        <v>131.89</v>
      </c>
      <c r="E10656" s="5" t="n">
        <v>15</v>
      </c>
      <c r="F10656" s="3" t="inlineStr">
        <is>
          <t>유구읍</t>
        </is>
      </c>
      <c r="G10656" s="3" t="inlineStr">
        <is>
          <t>노동리</t>
        </is>
      </c>
      <c r="H10656" s="3" t="inlineStr">
        <is>
          <t>계획관리지역</t>
        </is>
      </c>
      <c r="I10656" s="3" t="inlineStr">
        <is>
          <t>답</t>
        </is>
      </c>
      <c r="J10656" s="3" t="inlineStr">
        <is>
          <t>유구읍</t>
        </is>
      </c>
    </row>
    <row r="10657">
      <c r="A10657" s="3" t="n">
        <v>2024</v>
      </c>
      <c r="B10657" s="4" t="n">
        <v>953</v>
      </c>
      <c r="C10657" s="4" t="n">
        <v>210</v>
      </c>
      <c r="D10657" s="4" t="n">
        <v>63.525</v>
      </c>
      <c r="E10657" s="5" t="n">
        <v>15</v>
      </c>
      <c r="F10657" s="3" t="inlineStr">
        <is>
          <t>유구읍</t>
        </is>
      </c>
      <c r="G10657" s="3" t="inlineStr">
        <is>
          <t>노동리</t>
        </is>
      </c>
      <c r="H10657" s="3" t="inlineStr">
        <is>
          <t>계획관리지역</t>
        </is>
      </c>
      <c r="I10657" s="3" t="inlineStr">
        <is>
          <t>답</t>
        </is>
      </c>
      <c r="J10657" s="3" t="inlineStr">
        <is>
          <t>유구읍</t>
        </is>
      </c>
    </row>
    <row r="10658">
      <c r="A10658" s="3" t="n">
        <v>2024</v>
      </c>
      <c r="B10658" s="4" t="n">
        <v>1716</v>
      </c>
      <c r="C10658" s="4" t="n">
        <v>378</v>
      </c>
      <c r="D10658" s="4" t="n">
        <v>114.345</v>
      </c>
      <c r="E10658" s="5" t="n">
        <v>15</v>
      </c>
      <c r="F10658" s="3" t="inlineStr">
        <is>
          <t>유구읍</t>
        </is>
      </c>
      <c r="G10658" s="3" t="inlineStr">
        <is>
          <t>노동리</t>
        </is>
      </c>
      <c r="H10658" s="3" t="inlineStr">
        <is>
          <t>계획관리지역</t>
        </is>
      </c>
      <c r="I10658" s="3" t="inlineStr">
        <is>
          <t>답</t>
        </is>
      </c>
      <c r="J10658" s="3" t="inlineStr">
        <is>
          <t>유구읍</t>
        </is>
      </c>
    </row>
    <row r="10659">
      <c r="A10659" s="3" t="n">
        <v>2024</v>
      </c>
      <c r="B10659" s="4" t="n">
        <v>10301</v>
      </c>
      <c r="C10659" s="4" t="n">
        <v>2943</v>
      </c>
      <c r="D10659" s="4" t="n">
        <v>890.2574999999999</v>
      </c>
      <c r="E10659" s="5" t="n">
        <v>11.6</v>
      </c>
      <c r="F10659" s="3" t="inlineStr">
        <is>
          <t>유구읍</t>
        </is>
      </c>
      <c r="G10659" s="3" t="inlineStr">
        <is>
          <t>입석리</t>
        </is>
      </c>
      <c r="H10659" s="3" t="inlineStr">
        <is>
          <t>농림지역</t>
        </is>
      </c>
      <c r="I10659" s="3" t="inlineStr">
        <is>
          <t>답</t>
        </is>
      </c>
      <c r="J10659" s="3" t="inlineStr">
        <is>
          <t>유구읍</t>
        </is>
      </c>
    </row>
    <row r="10660">
      <c r="A10660" s="3" t="n">
        <v>2024</v>
      </c>
      <c r="B10660" s="4" t="n">
        <v>3251</v>
      </c>
      <c r="C10660" s="4" t="n">
        <v>1016</v>
      </c>
      <c r="D10660" s="4" t="n">
        <v>307.34</v>
      </c>
      <c r="E10660" s="5" t="n">
        <v>10.6</v>
      </c>
      <c r="F10660" s="3" t="inlineStr">
        <is>
          <t>유구읍</t>
        </is>
      </c>
      <c r="G10660" s="3" t="inlineStr">
        <is>
          <t>입석리</t>
        </is>
      </c>
      <c r="H10660" s="3" t="inlineStr">
        <is>
          <t>농림지역</t>
        </is>
      </c>
      <c r="I10660" s="3" t="inlineStr">
        <is>
          <t>답</t>
        </is>
      </c>
      <c r="J10660" s="3" t="inlineStr">
        <is>
          <t>유구읍</t>
        </is>
      </c>
    </row>
    <row r="10661">
      <c r="A10661" s="3" t="n">
        <v>2024</v>
      </c>
      <c r="B10661" s="4" t="n">
        <v>3001</v>
      </c>
      <c r="C10661" s="4" t="n">
        <v>968</v>
      </c>
      <c r="D10661" s="4" t="n">
        <v>292.82</v>
      </c>
      <c r="E10661" s="5" t="n">
        <v>10.2</v>
      </c>
      <c r="F10661" s="3" t="inlineStr">
        <is>
          <t>유구읍</t>
        </is>
      </c>
      <c r="G10661" s="3" t="inlineStr">
        <is>
          <t>입석리</t>
        </is>
      </c>
      <c r="H10661" s="3" t="inlineStr">
        <is>
          <t>농림지역</t>
        </is>
      </c>
      <c r="I10661" s="3" t="inlineStr">
        <is>
          <t>답</t>
        </is>
      </c>
      <c r="J10661" s="3" t="inlineStr">
        <is>
          <t>유구읍</t>
        </is>
      </c>
    </row>
    <row r="10662">
      <c r="A10662" s="3" t="n">
        <v>2024</v>
      </c>
      <c r="B10662" s="4" t="n">
        <v>1200</v>
      </c>
      <c r="C10662" s="4" t="n">
        <v>1435</v>
      </c>
      <c r="D10662" s="4" t="n">
        <v>434.0875</v>
      </c>
      <c r="E10662" s="5" t="n">
        <v>2.8</v>
      </c>
      <c r="F10662" s="3" t="inlineStr">
        <is>
          <t>유구읍</t>
        </is>
      </c>
      <c r="G10662" s="3" t="inlineStr">
        <is>
          <t>추계리</t>
        </is>
      </c>
      <c r="H10662" s="3" t="inlineStr">
        <is>
          <t>생산관리지역</t>
        </is>
      </c>
      <c r="I10662" s="3" t="inlineStr">
        <is>
          <t>전</t>
        </is>
      </c>
      <c r="J10662" s="3" t="inlineStr">
        <is>
          <t>유구읍</t>
        </is>
      </c>
    </row>
    <row r="10663">
      <c r="A10663" s="3" t="n">
        <v>2024</v>
      </c>
      <c r="B10663" s="4" t="n">
        <v>800</v>
      </c>
      <c r="C10663" s="4" t="n">
        <v>1316</v>
      </c>
      <c r="D10663" s="4" t="n">
        <v>398.09</v>
      </c>
      <c r="E10663" s="5" t="n">
        <v>2</v>
      </c>
      <c r="F10663" s="3" t="inlineStr">
        <is>
          <t>유구읍</t>
        </is>
      </c>
      <c r="G10663" s="3" t="inlineStr">
        <is>
          <t>추계리</t>
        </is>
      </c>
      <c r="H10663" s="3" t="inlineStr">
        <is>
          <t>생산관리지역</t>
        </is>
      </c>
      <c r="I10663" s="3" t="inlineStr">
        <is>
          <t>임야</t>
        </is>
      </c>
      <c r="J10663" s="3" t="inlineStr">
        <is>
          <t>유구읍</t>
        </is>
      </c>
    </row>
    <row r="10664">
      <c r="A10664" s="3" t="n">
        <v>2024</v>
      </c>
      <c r="B10664" s="4" t="n">
        <v>4300</v>
      </c>
      <c r="C10664" s="4" t="n">
        <v>1339</v>
      </c>
      <c r="D10664" s="4" t="n">
        <v>405.0475</v>
      </c>
      <c r="E10664" s="5" t="n">
        <v>10.6</v>
      </c>
      <c r="F10664" s="3" t="inlineStr">
        <is>
          <t>유구읍</t>
        </is>
      </c>
      <c r="G10664" s="3" t="inlineStr">
        <is>
          <t>유구리</t>
        </is>
      </c>
      <c r="H10664" s="3" t="inlineStr">
        <is>
          <t>농림지역</t>
        </is>
      </c>
      <c r="I10664" s="3" t="inlineStr">
        <is>
          <t>전</t>
        </is>
      </c>
      <c r="J10664" s="3" t="inlineStr">
        <is>
          <t>유구읍</t>
        </is>
      </c>
    </row>
    <row r="10665">
      <c r="A10665" s="3" t="n">
        <v>2024</v>
      </c>
      <c r="B10665" s="4" t="n">
        <v>700</v>
      </c>
      <c r="C10665" s="4" t="n">
        <v>60</v>
      </c>
      <c r="D10665" s="4" t="n">
        <v>18.15</v>
      </c>
      <c r="E10665" s="5" t="n">
        <v>38.6</v>
      </c>
      <c r="F10665" s="3" t="inlineStr">
        <is>
          <t>유구읍</t>
        </is>
      </c>
      <c r="G10665" s="3" t="inlineStr">
        <is>
          <t>문금리</t>
        </is>
      </c>
      <c r="H10665" s="3" t="inlineStr">
        <is>
          <t>계획관리지역</t>
        </is>
      </c>
      <c r="I10665" s="3" t="inlineStr">
        <is>
          <t>답</t>
        </is>
      </c>
      <c r="J10665" s="3" t="inlineStr">
        <is>
          <t>유구읍</t>
        </is>
      </c>
    </row>
    <row r="10666">
      <c r="A10666" s="3" t="n">
        <v>2024</v>
      </c>
      <c r="B10666" s="4" t="n">
        <v>900</v>
      </c>
      <c r="C10666" s="4" t="n">
        <v>75</v>
      </c>
      <c r="D10666" s="4" t="n">
        <v>22.6875</v>
      </c>
      <c r="E10666" s="5" t="n">
        <v>39.7</v>
      </c>
      <c r="F10666" s="3" t="inlineStr">
        <is>
          <t>유구읍</t>
        </is>
      </c>
      <c r="G10666" s="3" t="inlineStr">
        <is>
          <t>문금리</t>
        </is>
      </c>
      <c r="H10666" s="3" t="inlineStr">
        <is>
          <t>계획관리지역</t>
        </is>
      </c>
      <c r="I10666" s="3" t="inlineStr">
        <is>
          <t>답</t>
        </is>
      </c>
      <c r="J10666" s="3" t="inlineStr">
        <is>
          <t>유구읍</t>
        </is>
      </c>
    </row>
    <row r="10667">
      <c r="A10667" s="3" t="n">
        <v>2024</v>
      </c>
      <c r="B10667" s="4" t="n">
        <v>400</v>
      </c>
      <c r="C10667" s="4" t="n">
        <v>165</v>
      </c>
      <c r="D10667" s="4" t="n">
        <v>49.9125</v>
      </c>
      <c r="E10667" s="5" t="n">
        <v>8</v>
      </c>
      <c r="F10667" s="3" t="inlineStr">
        <is>
          <t>유구읍</t>
        </is>
      </c>
      <c r="G10667" s="3" t="inlineStr">
        <is>
          <t>명곡리</t>
        </is>
      </c>
      <c r="H10667" s="3" t="inlineStr">
        <is>
          <t>계획관리지역</t>
        </is>
      </c>
      <c r="I10667" s="3" t="inlineStr">
        <is>
          <t>전</t>
        </is>
      </c>
      <c r="J10667" s="3" t="inlineStr">
        <is>
          <t>유구읍</t>
        </is>
      </c>
    </row>
    <row r="10668">
      <c r="A10668" s="3" t="n">
        <v>2024</v>
      </c>
      <c r="B10668" s="4" t="n">
        <v>1400</v>
      </c>
      <c r="C10668" s="4" t="n">
        <v>543</v>
      </c>
      <c r="D10668" s="4" t="n">
        <v>164.2575</v>
      </c>
      <c r="E10668" s="5" t="n">
        <v>8.5</v>
      </c>
      <c r="F10668" s="3" t="inlineStr">
        <is>
          <t>유구읍</t>
        </is>
      </c>
      <c r="G10668" s="3" t="inlineStr">
        <is>
          <t>명곡리</t>
        </is>
      </c>
      <c r="H10668" s="3" t="inlineStr">
        <is>
          <t>계획관리지역</t>
        </is>
      </c>
      <c r="I10668" s="3" t="inlineStr">
        <is>
          <t>전</t>
        </is>
      </c>
      <c r="J10668" s="3" t="inlineStr">
        <is>
          <t>유구읍</t>
        </is>
      </c>
    </row>
    <row r="10669">
      <c r="A10669" s="3" t="n">
        <v>2024</v>
      </c>
      <c r="B10669" s="4" t="n">
        <v>1600</v>
      </c>
      <c r="C10669" s="4" t="n">
        <v>647</v>
      </c>
      <c r="D10669" s="4" t="n">
        <v>195.7175</v>
      </c>
      <c r="E10669" s="5" t="n">
        <v>8.199999999999999</v>
      </c>
      <c r="F10669" s="3" t="inlineStr">
        <is>
          <t>유구읍</t>
        </is>
      </c>
      <c r="G10669" s="3" t="inlineStr">
        <is>
          <t>명곡리</t>
        </is>
      </c>
      <c r="H10669" s="3" t="inlineStr">
        <is>
          <t>계획관리지역</t>
        </is>
      </c>
      <c r="I10669" s="3" t="inlineStr">
        <is>
          <t>전</t>
        </is>
      </c>
      <c r="J10669" s="3" t="inlineStr">
        <is>
          <t>유구읍</t>
        </is>
      </c>
    </row>
    <row r="10670">
      <c r="A10670" s="3" t="n">
        <v>2024</v>
      </c>
      <c r="B10670" s="4" t="n">
        <v>160</v>
      </c>
      <c r="C10670" s="4" t="n">
        <v>70</v>
      </c>
      <c r="D10670" s="4" t="n">
        <v>21.175</v>
      </c>
      <c r="E10670" s="5" t="n">
        <v>7.6</v>
      </c>
      <c r="F10670" s="3" t="inlineStr">
        <is>
          <t>유구읍</t>
        </is>
      </c>
      <c r="G10670" s="3" t="inlineStr">
        <is>
          <t>명곡리</t>
        </is>
      </c>
      <c r="H10670" s="3" t="inlineStr">
        <is>
          <t>계획관리지역</t>
        </is>
      </c>
      <c r="I10670" s="3" t="inlineStr">
        <is>
          <t>전</t>
        </is>
      </c>
      <c r="J10670" s="3" t="inlineStr">
        <is>
          <t>유구읍</t>
        </is>
      </c>
    </row>
    <row r="10671">
      <c r="A10671" s="3" t="n">
        <v>2024</v>
      </c>
      <c r="B10671" s="4" t="n">
        <v>90</v>
      </c>
      <c r="C10671" s="4" t="n">
        <v>43</v>
      </c>
      <c r="D10671" s="4" t="n">
        <v>13.0075</v>
      </c>
      <c r="E10671" s="5" t="n">
        <v>6.9</v>
      </c>
      <c r="F10671" s="3" t="inlineStr">
        <is>
          <t>유구읍</t>
        </is>
      </c>
      <c r="G10671" s="3" t="inlineStr">
        <is>
          <t>명곡리</t>
        </is>
      </c>
      <c r="H10671" s="3" t="inlineStr">
        <is>
          <t>계획관리지역</t>
        </is>
      </c>
      <c r="I10671" s="3" t="inlineStr">
        <is>
          <t>전</t>
        </is>
      </c>
      <c r="J10671" s="3" t="inlineStr">
        <is>
          <t>유구읍</t>
        </is>
      </c>
    </row>
    <row r="10672">
      <c r="A10672" s="3" t="n">
        <v>2024</v>
      </c>
      <c r="B10672" s="4" t="n">
        <v>32000</v>
      </c>
      <c r="C10672" s="4" t="n">
        <v>408</v>
      </c>
      <c r="D10672" s="4" t="n">
        <v>123.42</v>
      </c>
      <c r="E10672" s="5" t="n">
        <v>259.3</v>
      </c>
      <c r="F10672" s="3" t="inlineStr">
        <is>
          <t>유구읍</t>
        </is>
      </c>
      <c r="G10672" s="3" t="inlineStr">
        <is>
          <t>석남리</t>
        </is>
      </c>
      <c r="H10672" s="3" t="inlineStr">
        <is>
          <t>일반상업지역</t>
        </is>
      </c>
      <c r="I10672" s="3" t="inlineStr">
        <is>
          <t>답</t>
        </is>
      </c>
      <c r="J10672" s="3" t="inlineStr">
        <is>
          <t>유구읍</t>
        </is>
      </c>
    </row>
    <row r="10673">
      <c r="A10673" s="3" t="n">
        <v>2022</v>
      </c>
      <c r="B10673" s="4" t="n">
        <v>21000</v>
      </c>
      <c r="C10673" s="4" t="n">
        <v>2922</v>
      </c>
      <c r="D10673" s="4" t="n">
        <v>883.905</v>
      </c>
      <c r="E10673" s="5" t="n">
        <v>23.8</v>
      </c>
      <c r="F10673" s="3" t="inlineStr">
        <is>
          <t>전동면</t>
        </is>
      </c>
      <c r="G10673" s="3" t="inlineStr">
        <is>
          <t>송성리</t>
        </is>
      </c>
      <c r="H10673" s="3" t="inlineStr">
        <is>
          <t>생산관리지역</t>
        </is>
      </c>
      <c r="I10673" s="3" t="inlineStr">
        <is>
          <t>답</t>
        </is>
      </c>
      <c r="J10673" s="3" t="inlineStr">
        <is>
          <t>전동면</t>
        </is>
      </c>
    </row>
    <row r="10674">
      <c r="A10674" s="3" t="n">
        <v>2024</v>
      </c>
      <c r="B10674" s="4" t="n">
        <v>122390</v>
      </c>
      <c r="C10674" s="4" t="n">
        <v>2749</v>
      </c>
      <c r="D10674" s="4" t="n">
        <v>831.5725</v>
      </c>
      <c r="E10674" s="5" t="n">
        <v>147.2</v>
      </c>
      <c r="F10674" s="3" t="inlineStr">
        <is>
          <t>연서면</t>
        </is>
      </c>
      <c r="G10674" s="3" t="inlineStr">
        <is>
          <t>와촌리</t>
        </is>
      </c>
      <c r="H10674" s="3" t="inlineStr">
        <is>
          <t>계획관리지역</t>
        </is>
      </c>
      <c r="I10674" s="3" t="inlineStr">
        <is>
          <t>과수원</t>
        </is>
      </c>
      <c r="J10674" s="3" t="inlineStr">
        <is>
          <t>연서면</t>
        </is>
      </c>
    </row>
    <row r="10675">
      <c r="A10675" s="3" t="n">
        <v>2024</v>
      </c>
      <c r="B10675" s="4" t="n">
        <v>2000</v>
      </c>
      <c r="C10675" s="4" t="n">
        <v>28</v>
      </c>
      <c r="D10675" s="4" t="n">
        <v>8.469999999999999</v>
      </c>
      <c r="E10675" s="5" t="n">
        <v>236.1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제2종일반주거지역</t>
        </is>
      </c>
      <c r="I10675" s="3" t="inlineStr">
        <is>
          <t>제방</t>
        </is>
      </c>
      <c r="J10675" s="3" t="inlineStr">
        <is>
          <t>조치원읍</t>
        </is>
      </c>
    </row>
    <row r="10676">
      <c r="A10676" s="3" t="n">
        <v>2024</v>
      </c>
      <c r="B10676" s="4" t="n">
        <v>9000</v>
      </c>
      <c r="C10676" s="4" t="n">
        <v>83</v>
      </c>
      <c r="D10676" s="4" t="n">
        <v>25.1075</v>
      </c>
      <c r="E10676" s="5" t="n">
        <v>358.5</v>
      </c>
      <c r="F10676" s="3" t="inlineStr">
        <is>
          <t>조치원읍</t>
        </is>
      </c>
      <c r="G10676" s="3" t="inlineStr">
        <is>
          <t>신안리</t>
        </is>
      </c>
      <c r="H10676" s="3" t="inlineStr">
        <is>
          <t>제2종일반주거지역</t>
        </is>
      </c>
      <c r="I10676" s="3" t="inlineStr">
        <is>
          <t>대</t>
        </is>
      </c>
      <c r="J10676" s="3" t="inlineStr">
        <is>
          <t>조치원읍</t>
        </is>
      </c>
    </row>
    <row r="10677">
      <c r="A10677" s="3" t="n">
        <v>2024</v>
      </c>
      <c r="B10677" s="4" t="n">
        <v>9120</v>
      </c>
      <c r="C10677" s="4" t="n">
        <v>754</v>
      </c>
      <c r="D10677" s="4" t="n">
        <v>228.085</v>
      </c>
      <c r="E10677" s="5" t="n">
        <v>40</v>
      </c>
      <c r="F10677" s="3" t="inlineStr">
        <is>
          <t>부강면</t>
        </is>
      </c>
      <c r="G10677" s="3" t="inlineStr">
        <is>
          <t>노호리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부강면</t>
        </is>
      </c>
    </row>
    <row r="10678">
      <c r="A10678" s="3" t="n">
        <v>2024</v>
      </c>
      <c r="B10678" s="4" t="n">
        <v>3506</v>
      </c>
      <c r="C10678" s="4" t="n">
        <v>68</v>
      </c>
      <c r="D10678" s="4" t="n">
        <v>20.57</v>
      </c>
      <c r="E10678" s="5" t="n">
        <v>170.4</v>
      </c>
      <c r="F10678" s="3" t="inlineStr">
        <is>
          <t>조치원읍</t>
        </is>
      </c>
      <c r="G10678" s="3" t="inlineStr">
        <is>
          <t>봉산리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조치원읍</t>
        </is>
      </c>
    </row>
    <row r="10679">
      <c r="A10679" s="3" t="n">
        <v>2024</v>
      </c>
      <c r="B10679" s="4" t="n">
        <v>7100</v>
      </c>
      <c r="C10679" s="4" t="n">
        <v>576</v>
      </c>
      <c r="D10679" s="4" t="n">
        <v>174.24</v>
      </c>
      <c r="E10679" s="5" t="n">
        <v>40.7</v>
      </c>
      <c r="F10679" s="3" t="inlineStr">
        <is>
          <t>소정면</t>
        </is>
      </c>
      <c r="G10679" s="3" t="inlineStr">
        <is>
          <t>대곡리</t>
        </is>
      </c>
      <c r="H10679" s="3" t="inlineStr">
        <is>
          <t>계획관리지역</t>
        </is>
      </c>
      <c r="I10679" s="3" t="inlineStr">
        <is>
          <t>전</t>
        </is>
      </c>
      <c r="J10679" s="3" t="inlineStr">
        <is>
          <t>소정면</t>
        </is>
      </c>
    </row>
    <row r="10680">
      <c r="A10680" s="3" t="n">
        <v>2024</v>
      </c>
      <c r="B10680" s="4" t="n">
        <v>1000</v>
      </c>
      <c r="C10680" s="4" t="n">
        <v>264</v>
      </c>
      <c r="D10680" s="4" t="n">
        <v>79.86</v>
      </c>
      <c r="E10680" s="5" t="n">
        <v>12.5</v>
      </c>
      <c r="F10680" s="3" t="inlineStr">
        <is>
          <t>소정면</t>
        </is>
      </c>
      <c r="G10680" s="3" t="inlineStr">
        <is>
          <t>대곡리</t>
        </is>
      </c>
      <c r="H10680" s="3" t="inlineStr">
        <is>
          <t>계획관리지역</t>
        </is>
      </c>
      <c r="I10680" s="3" t="inlineStr">
        <is>
          <t>수도용지</t>
        </is>
      </c>
      <c r="J10680" s="3" t="inlineStr">
        <is>
          <t>소정면</t>
        </is>
      </c>
    </row>
    <row r="10681">
      <c r="A10681" s="3" t="n">
        <v>2024</v>
      </c>
      <c r="B10681" s="4" t="n">
        <v>1200</v>
      </c>
      <c r="C10681" s="4" t="n">
        <v>74</v>
      </c>
      <c r="D10681" s="4" t="n">
        <v>22.385</v>
      </c>
      <c r="E10681" s="5" t="n">
        <v>53.6</v>
      </c>
      <c r="F10681" s="3" t="inlineStr">
        <is>
          <t>소정면</t>
        </is>
      </c>
      <c r="G10681" s="3" t="inlineStr">
        <is>
          <t>대곡리</t>
        </is>
      </c>
      <c r="H10681" s="3" t="inlineStr">
        <is>
          <t>계획관리지역</t>
        </is>
      </c>
      <c r="I10681" s="3" t="inlineStr">
        <is>
          <t>대</t>
        </is>
      </c>
      <c r="J10681" s="3" t="inlineStr">
        <is>
          <t>소정면</t>
        </is>
      </c>
    </row>
    <row r="10682">
      <c r="A10682" s="3" t="n">
        <v>2024</v>
      </c>
      <c r="B10682" s="4" t="n">
        <v>45000</v>
      </c>
      <c r="C10682" s="4" t="n">
        <v>769</v>
      </c>
      <c r="D10682" s="4" t="n">
        <v>232.6225</v>
      </c>
      <c r="E10682" s="5" t="n">
        <v>193.4</v>
      </c>
      <c r="F10682" s="3" t="inlineStr">
        <is>
          <t>연서면</t>
        </is>
      </c>
      <c r="G10682" s="3" t="inlineStr">
        <is>
          <t>와촌리</t>
        </is>
      </c>
      <c r="H10682" s="3" t="inlineStr">
        <is>
          <t>생산관리지역</t>
        </is>
      </c>
      <c r="I10682" s="3" t="inlineStr">
        <is>
          <t>답</t>
        </is>
      </c>
      <c r="J10682" s="3" t="inlineStr">
        <is>
          <t>연서면</t>
        </is>
      </c>
    </row>
    <row r="10683">
      <c r="A10683" s="3" t="n">
        <v>2024</v>
      </c>
      <c r="B10683" s="4" t="n">
        <v>5000</v>
      </c>
      <c r="C10683" s="4" t="n">
        <v>119</v>
      </c>
      <c r="D10683" s="4" t="n">
        <v>35.9975</v>
      </c>
      <c r="E10683" s="5" t="n">
        <v>138.9</v>
      </c>
      <c r="F10683" s="3" t="inlineStr">
        <is>
          <t>연서면</t>
        </is>
      </c>
      <c r="G10683" s="3" t="inlineStr">
        <is>
          <t>와촌리</t>
        </is>
      </c>
      <c r="H10683" s="3" t="inlineStr">
        <is>
          <t>생산관리지역</t>
        </is>
      </c>
      <c r="I10683" s="3" t="inlineStr">
        <is>
          <t>답</t>
        </is>
      </c>
      <c r="J10683" s="3" t="inlineStr">
        <is>
          <t>연서면</t>
        </is>
      </c>
    </row>
    <row r="10684">
      <c r="A10684" s="3" t="n">
        <v>2024</v>
      </c>
      <c r="B10684" s="4" t="n">
        <v>6350</v>
      </c>
      <c r="C10684" s="4" t="n">
        <v>350</v>
      </c>
      <c r="D10684" s="4" t="n">
        <v>105.875</v>
      </c>
      <c r="E10684" s="5" t="n">
        <v>60</v>
      </c>
      <c r="F10684" s="3" t="inlineStr">
        <is>
          <t>금남면</t>
        </is>
      </c>
      <c r="G10684" s="3" t="inlineStr">
        <is>
          <t>원봉리</t>
        </is>
      </c>
      <c r="H10684" s="3" t="inlineStr">
        <is>
          <t>보전관리지역</t>
        </is>
      </c>
      <c r="I10684" s="3" t="inlineStr">
        <is>
          <t>과수원</t>
        </is>
      </c>
      <c r="J10684" s="3" t="inlineStr">
        <is>
          <t>금남면</t>
        </is>
      </c>
    </row>
    <row r="10685">
      <c r="A10685" s="3" t="n">
        <v>2024</v>
      </c>
      <c r="B10685" s="4" t="n">
        <v>55500</v>
      </c>
      <c r="C10685" s="4" t="n">
        <v>415.6</v>
      </c>
      <c r="D10685" s="4" t="n">
        <v>125.719</v>
      </c>
      <c r="E10685" s="5" t="n">
        <v>441.5</v>
      </c>
      <c r="F10685" s="3" t="inlineStr">
        <is>
          <t>조치원읍</t>
        </is>
      </c>
      <c r="G10685" s="3" t="inlineStr">
        <is>
          <t>서창리</t>
        </is>
      </c>
      <c r="H10685" s="3" t="inlineStr">
        <is>
          <t>제2종일반주거지역</t>
        </is>
      </c>
      <c r="I10685" s="3" t="inlineStr">
        <is>
          <t>대</t>
        </is>
      </c>
      <c r="J10685" s="3" t="inlineStr">
        <is>
          <t>조치원읍</t>
        </is>
      </c>
    </row>
    <row r="10686">
      <c r="A10686" s="3" t="n">
        <v>2025</v>
      </c>
      <c r="B10686" s="4" t="n">
        <v>1200</v>
      </c>
      <c r="C10686" s="4" t="n">
        <v>99</v>
      </c>
      <c r="D10686" s="4" t="n">
        <v>29.9475</v>
      </c>
      <c r="E10686" s="5" t="n">
        <v>40.1</v>
      </c>
      <c r="F10686" s="3" t="inlineStr">
        <is>
          <t>유구읍</t>
        </is>
      </c>
      <c r="G10686" s="3" t="inlineStr">
        <is>
          <t>녹천리</t>
        </is>
      </c>
      <c r="H10686" s="3" t="inlineStr">
        <is>
          <t>계획관리지역</t>
        </is>
      </c>
      <c r="I10686" s="3" t="inlineStr">
        <is>
          <t>대</t>
        </is>
      </c>
      <c r="J10686" s="3" t="inlineStr">
        <is>
          <t>유구읍</t>
        </is>
      </c>
    </row>
    <row r="10687">
      <c r="A10687" s="3" t="n">
        <v>2025</v>
      </c>
      <c r="B10687" s="4" t="n">
        <v>2610</v>
      </c>
      <c r="C10687" s="4" t="n">
        <v>684</v>
      </c>
      <c r="D10687" s="4" t="n">
        <v>206.91</v>
      </c>
      <c r="E10687" s="5" t="n">
        <v>12.6</v>
      </c>
      <c r="F10687" s="3" t="inlineStr">
        <is>
          <t>유구읍</t>
        </is>
      </c>
      <c r="G10687" s="3" t="inlineStr">
        <is>
          <t>명곡리</t>
        </is>
      </c>
      <c r="H10687" s="3" t="inlineStr">
        <is>
          <t>계획관리지역</t>
        </is>
      </c>
      <c r="I10687" s="3" t="inlineStr">
        <is>
          <t>전</t>
        </is>
      </c>
      <c r="J10687" s="3" t="inlineStr">
        <is>
          <t>유구읍</t>
        </is>
      </c>
    </row>
    <row r="10688">
      <c r="A10688" s="3" t="n">
        <v>2025</v>
      </c>
      <c r="B10688" s="4" t="n">
        <v>1700</v>
      </c>
      <c r="C10688" s="4" t="n">
        <v>407</v>
      </c>
      <c r="D10688" s="4" t="n">
        <v>123.1175</v>
      </c>
      <c r="E10688" s="5" t="n">
        <v>13.8</v>
      </c>
      <c r="F10688" s="3" t="inlineStr">
        <is>
          <t>유구읍</t>
        </is>
      </c>
      <c r="G10688" s="3" t="inlineStr">
        <is>
          <t>만천리</t>
        </is>
      </c>
      <c r="H10688" s="3" t="inlineStr">
        <is>
          <t>계획관리지역</t>
        </is>
      </c>
      <c r="I10688" s="3" t="inlineStr">
        <is>
          <t>전</t>
        </is>
      </c>
      <c r="J10688" s="3" t="inlineStr">
        <is>
          <t>유구읍</t>
        </is>
      </c>
    </row>
    <row r="10689">
      <c r="A10689" s="3" t="n">
        <v>2025</v>
      </c>
      <c r="B10689" s="4" t="n">
        <v>6000</v>
      </c>
      <c r="C10689" s="4" t="n">
        <v>635</v>
      </c>
      <c r="D10689" s="4" t="n">
        <v>192.0875</v>
      </c>
      <c r="E10689" s="5" t="n">
        <v>31.2</v>
      </c>
      <c r="F10689" s="3" t="inlineStr">
        <is>
          <t>유구읍</t>
        </is>
      </c>
      <c r="G10689" s="3" t="inlineStr">
        <is>
          <t>석남리</t>
        </is>
      </c>
      <c r="H10689" s="3" t="inlineStr">
        <is>
          <t>제2종일반주거지역</t>
        </is>
      </c>
      <c r="I10689" s="3" t="inlineStr">
        <is>
          <t>답</t>
        </is>
      </c>
      <c r="J10689" s="3" t="inlineStr">
        <is>
          <t>유구읍</t>
        </is>
      </c>
    </row>
    <row r="10690">
      <c r="A10690" s="3" t="n">
        <v>2025</v>
      </c>
      <c r="B10690" s="4" t="n">
        <v>6300</v>
      </c>
      <c r="C10690" s="4" t="n">
        <v>192</v>
      </c>
      <c r="D10690" s="4" t="n">
        <v>58.08</v>
      </c>
      <c r="E10690" s="5" t="n">
        <v>108.5</v>
      </c>
      <c r="F10690" s="3" t="inlineStr">
        <is>
          <t>유구읍</t>
        </is>
      </c>
      <c r="G10690" s="3" t="inlineStr">
        <is>
          <t>백교리</t>
        </is>
      </c>
      <c r="H10690" s="3" t="inlineStr">
        <is>
          <t>자연녹지지역</t>
        </is>
      </c>
      <c r="I10690" s="3" t="inlineStr">
        <is>
          <t>대</t>
        </is>
      </c>
      <c r="J10690" s="3" t="inlineStr">
        <is>
          <t>유구읍</t>
        </is>
      </c>
    </row>
    <row r="10691">
      <c r="A10691" s="3" t="n">
        <v>2025</v>
      </c>
      <c r="B10691" s="4" t="n">
        <v>400</v>
      </c>
      <c r="C10691" s="4" t="n">
        <v>907</v>
      </c>
      <c r="D10691" s="4" t="n">
        <v>274.3675</v>
      </c>
      <c r="E10691" s="5" t="n">
        <v>1.5</v>
      </c>
      <c r="F10691" s="3" t="inlineStr">
        <is>
          <t>유구읍</t>
        </is>
      </c>
      <c r="G10691" s="3" t="inlineStr">
        <is>
          <t>입석리</t>
        </is>
      </c>
      <c r="H10691" s="3" t="inlineStr">
        <is>
          <t>보전관리지역</t>
        </is>
      </c>
      <c r="I10691" s="3" t="inlineStr">
        <is>
          <t>임야</t>
        </is>
      </c>
      <c r="J10691" s="3" t="inlineStr">
        <is>
          <t>유구읍</t>
        </is>
      </c>
    </row>
    <row r="10692">
      <c r="A10692" s="3" t="n">
        <v>2025</v>
      </c>
      <c r="B10692" s="4" t="n">
        <v>5000</v>
      </c>
      <c r="C10692" s="4" t="n">
        <v>121</v>
      </c>
      <c r="D10692" s="4" t="n">
        <v>36.6025</v>
      </c>
      <c r="E10692" s="5" t="n">
        <v>136.6</v>
      </c>
      <c r="F10692" s="3" t="inlineStr">
        <is>
          <t>유구읍</t>
        </is>
      </c>
      <c r="G10692" s="3" t="inlineStr">
        <is>
          <t>석남리</t>
        </is>
      </c>
      <c r="H10692" s="3" t="inlineStr">
        <is>
          <t>일반상업지역</t>
        </is>
      </c>
      <c r="I10692" s="3" t="inlineStr">
        <is>
          <t>대</t>
        </is>
      </c>
      <c r="J10692" s="3" t="inlineStr">
        <is>
          <t>유구읍</t>
        </is>
      </c>
    </row>
    <row r="10693">
      <c r="A10693" s="3" t="n">
        <v>2025</v>
      </c>
      <c r="B10693" s="4" t="n">
        <v>8500</v>
      </c>
      <c r="C10693" s="4" t="n">
        <v>2058</v>
      </c>
      <c r="D10693" s="4" t="n">
        <v>622.545</v>
      </c>
      <c r="E10693" s="5" t="n">
        <v>13.7</v>
      </c>
      <c r="F10693" s="3" t="inlineStr">
        <is>
          <t>유구읍</t>
        </is>
      </c>
      <c r="G10693" s="3" t="inlineStr">
        <is>
          <t>입석리</t>
        </is>
      </c>
      <c r="H10693" s="3" t="inlineStr">
        <is>
          <t>농림지역</t>
        </is>
      </c>
      <c r="I10693" s="3" t="inlineStr">
        <is>
          <t>전</t>
        </is>
      </c>
      <c r="J10693" s="3" t="inlineStr">
        <is>
          <t>유구읍</t>
        </is>
      </c>
    </row>
    <row r="10694">
      <c r="A10694" s="3" t="n">
        <v>2026</v>
      </c>
      <c r="B10694" s="4" t="n">
        <v>46565</v>
      </c>
      <c r="C10694" s="4" t="n">
        <v>2370</v>
      </c>
      <c r="D10694" s="4" t="n">
        <v>716.925</v>
      </c>
      <c r="E10694" s="5" t="n">
        <v>65</v>
      </c>
      <c r="F10694" s="3" t="inlineStr">
        <is>
          <t>금남면</t>
        </is>
      </c>
      <c r="G10694" s="3" t="inlineStr">
        <is>
          <t>달전리</t>
        </is>
      </c>
      <c r="H10694" s="3" t="inlineStr">
        <is>
          <t>개발제한구역</t>
        </is>
      </c>
      <c r="I10694" s="3" t="inlineStr">
        <is>
          <t>답</t>
        </is>
      </c>
      <c r="J10694" s="3" t="inlineStr">
        <is>
          <t>금남면</t>
        </is>
      </c>
    </row>
    <row r="10695">
      <c r="A10695" s="3" t="n">
        <v>2026</v>
      </c>
      <c r="B10695" s="4" t="n">
        <v>17100</v>
      </c>
      <c r="C10695" s="4" t="n">
        <v>1130</v>
      </c>
      <c r="D10695" s="4" t="n">
        <v>341.825</v>
      </c>
      <c r="E10695" s="5" t="n">
        <v>50</v>
      </c>
      <c r="F10695" s="3" t="inlineStr">
        <is>
          <t>금남면</t>
        </is>
      </c>
      <c r="G10695" s="3" t="inlineStr">
        <is>
          <t>박산리</t>
        </is>
      </c>
      <c r="H10695" s="3" t="inlineStr">
        <is>
          <t>개발제한구역</t>
        </is>
      </c>
      <c r="I10695" s="3" t="inlineStr">
        <is>
          <t>답</t>
        </is>
      </c>
      <c r="J10695" s="3" t="inlineStr">
        <is>
          <t>금남면</t>
        </is>
      </c>
    </row>
    <row r="10696">
      <c r="A10696" s="3" t="n">
        <v>2026</v>
      </c>
      <c r="B10696" s="4" t="n">
        <v>18000</v>
      </c>
      <c r="C10696" s="4" t="n">
        <v>1107</v>
      </c>
      <c r="D10696" s="4" t="n">
        <v>334.8675</v>
      </c>
      <c r="E10696" s="5" t="n">
        <v>53.8</v>
      </c>
      <c r="F10696" s="3" t="inlineStr">
        <is>
          <t>금남면</t>
        </is>
      </c>
      <c r="G10696" s="3" t="inlineStr">
        <is>
          <t>국곡리</t>
        </is>
      </c>
      <c r="H10696" s="3" t="inlineStr">
        <is>
          <t>보전관리지역</t>
        </is>
      </c>
      <c r="I10696" s="3" t="inlineStr">
        <is>
          <t>답</t>
        </is>
      </c>
      <c r="J10696" s="3" t="inlineStr">
        <is>
          <t>금남면</t>
        </is>
      </c>
    </row>
    <row r="10697">
      <c r="A10697" s="3" t="n">
        <v>2026</v>
      </c>
      <c r="B10697" s="4" t="n">
        <v>7000</v>
      </c>
      <c r="C10697" s="4" t="n">
        <v>433</v>
      </c>
      <c r="D10697" s="4" t="n">
        <v>130.9825</v>
      </c>
      <c r="E10697" s="5" t="n">
        <v>53.4</v>
      </c>
      <c r="F10697" s="3" t="inlineStr">
        <is>
          <t>전의면</t>
        </is>
      </c>
      <c r="G10697" s="3" t="inlineStr">
        <is>
          <t>관정리</t>
        </is>
      </c>
      <c r="H10697" s="3" t="inlineStr">
        <is>
          <t>계획관리지역</t>
        </is>
      </c>
      <c r="I10697" s="3" t="inlineStr">
        <is>
          <t>대</t>
        </is>
      </c>
      <c r="J10697" s="3" t="inlineStr">
        <is>
          <t>전의면</t>
        </is>
      </c>
    </row>
    <row r="10698">
      <c r="A10698" s="3" t="n">
        <v>2026</v>
      </c>
      <c r="B10698" s="4" t="n">
        <v>10000</v>
      </c>
      <c r="C10698" s="4" t="n">
        <v>990</v>
      </c>
      <c r="D10698" s="4" t="n">
        <v>299.475</v>
      </c>
      <c r="E10698" s="5" t="n">
        <v>33.4</v>
      </c>
      <c r="F10698" s="3" t="inlineStr">
        <is>
          <t>전의면</t>
        </is>
      </c>
      <c r="G10698" s="3" t="inlineStr">
        <is>
          <t>다방리</t>
        </is>
      </c>
      <c r="H10698" s="3" t="inlineStr">
        <is>
          <t>생산관리지역</t>
        </is>
      </c>
      <c r="I10698" s="3" t="inlineStr">
        <is>
          <t>과수원</t>
        </is>
      </c>
      <c r="J10698" s="3" t="inlineStr">
        <is>
          <t>전의면</t>
        </is>
      </c>
    </row>
    <row r="10699">
      <c r="A10699" s="3" t="n">
        <v>2026</v>
      </c>
      <c r="B10699" s="4" t="n">
        <v>150</v>
      </c>
      <c r="C10699" s="4" t="n">
        <v>16</v>
      </c>
      <c r="D10699" s="4" t="n">
        <v>4.84</v>
      </c>
      <c r="E10699" s="5" t="n">
        <v>31</v>
      </c>
      <c r="F10699" s="3" t="inlineStr">
        <is>
          <t>전의면</t>
        </is>
      </c>
      <c r="G10699" s="3" t="inlineStr">
        <is>
          <t>다방리</t>
        </is>
      </c>
      <c r="H10699" s="3" t="inlineStr">
        <is>
          <t>생산관리지역</t>
        </is>
      </c>
      <c r="I10699" s="3" t="inlineStr">
        <is>
          <t>과수원</t>
        </is>
      </c>
      <c r="J10699" s="3" t="inlineStr">
        <is>
          <t>전의면</t>
        </is>
      </c>
    </row>
    <row r="10700">
      <c r="A10700" s="3" t="n">
        <v>2026</v>
      </c>
      <c r="B10700" s="4" t="n">
        <v>50</v>
      </c>
      <c r="C10700" s="4" t="n">
        <v>6</v>
      </c>
      <c r="D10700" s="4" t="n">
        <v>1.815</v>
      </c>
      <c r="E10700" s="5" t="n">
        <v>27.5</v>
      </c>
      <c r="F10700" s="3" t="inlineStr">
        <is>
          <t>전의면</t>
        </is>
      </c>
      <c r="G10700" s="3" t="inlineStr">
        <is>
          <t>다방리</t>
        </is>
      </c>
      <c r="H10700" s="3" t="inlineStr">
        <is>
          <t>생산관리지역</t>
        </is>
      </c>
      <c r="I10700" s="3" t="inlineStr">
        <is>
          <t>과수원</t>
        </is>
      </c>
      <c r="J10700" s="3" t="inlineStr">
        <is>
          <t>전의면</t>
        </is>
      </c>
    </row>
    <row r="10701">
      <c r="A10701" s="3" t="n">
        <v>2026</v>
      </c>
      <c r="B10701" s="4" t="n">
        <v>5300</v>
      </c>
      <c r="C10701" s="4" t="n">
        <v>500</v>
      </c>
      <c r="D10701" s="4" t="n">
        <v>151.25</v>
      </c>
      <c r="E10701" s="5" t="n">
        <v>35</v>
      </c>
      <c r="F10701" s="3" t="inlineStr">
        <is>
          <t>전의면</t>
        </is>
      </c>
      <c r="G10701" s="3" t="inlineStr">
        <is>
          <t>다방리</t>
        </is>
      </c>
      <c r="H10701" s="3" t="inlineStr">
        <is>
          <t>생산관리지역</t>
        </is>
      </c>
      <c r="I10701" s="3" t="inlineStr">
        <is>
          <t>과수원</t>
        </is>
      </c>
      <c r="J10701" s="3" t="inlineStr">
        <is>
          <t>전의면</t>
        </is>
      </c>
    </row>
    <row r="10702">
      <c r="A10702" s="3" t="n">
        <v>2026</v>
      </c>
      <c r="B10702" s="4" t="n">
        <v>12000</v>
      </c>
      <c r="C10702" s="4" t="n">
        <v>3720</v>
      </c>
      <c r="D10702" s="4" t="n">
        <v>1125.3</v>
      </c>
      <c r="E10702" s="5" t="n">
        <v>10.7</v>
      </c>
      <c r="F10702" s="3" t="inlineStr">
        <is>
          <t>장군면</t>
        </is>
      </c>
      <c r="G10702" s="3" t="inlineStr">
        <is>
          <t>산학리</t>
        </is>
      </c>
      <c r="H10702" s="3" t="inlineStr">
        <is>
          <t>계획관리지역</t>
        </is>
      </c>
      <c r="I10702" s="3" t="inlineStr">
        <is>
          <t>임야</t>
        </is>
      </c>
      <c r="J10702" s="3" t="inlineStr">
        <is>
          <t>장군면</t>
        </is>
      </c>
    </row>
    <row r="10703">
      <c r="A10703" s="3" t="n">
        <v>2022</v>
      </c>
      <c r="B10703" s="4" t="n">
        <v>25000</v>
      </c>
      <c r="C10703" s="4" t="n">
        <v>852</v>
      </c>
      <c r="D10703" s="4" t="n">
        <v>257.73</v>
      </c>
      <c r="E10703" s="5" t="n">
        <v>97</v>
      </c>
      <c r="F10703" s="3" t="inlineStr">
        <is>
          <t>연서면</t>
        </is>
      </c>
      <c r="G10703" s="3" t="inlineStr">
        <is>
          <t>쌍류리</t>
        </is>
      </c>
      <c r="H10703" s="3" t="inlineStr">
        <is>
          <t>보전관리지역</t>
        </is>
      </c>
      <c r="I10703" s="3" t="inlineStr">
        <is>
          <t>임야</t>
        </is>
      </c>
      <c r="J10703" s="3" t="inlineStr">
        <is>
          <t>연서면</t>
        </is>
      </c>
    </row>
    <row r="10704">
      <c r="A10704" s="3" t="n">
        <v>2022</v>
      </c>
      <c r="B10704" s="4" t="n">
        <v>73000</v>
      </c>
      <c r="C10704" s="4" t="n">
        <v>518</v>
      </c>
      <c r="D10704" s="4" t="n">
        <v>156.695</v>
      </c>
      <c r="E10704" s="5" t="n">
        <v>465.9</v>
      </c>
      <c r="F10704" s="3" t="inlineStr">
        <is>
          <t>연서면</t>
        </is>
      </c>
      <c r="G10704" s="3" t="inlineStr">
        <is>
          <t>봉암리</t>
        </is>
      </c>
      <c r="H10704" s="3" t="inlineStr">
        <is>
          <t>계획관리지역</t>
        </is>
      </c>
      <c r="I10704" s="3" t="inlineStr">
        <is>
          <t>답</t>
        </is>
      </c>
      <c r="J10704" s="3" t="inlineStr">
        <is>
          <t>연서면</t>
        </is>
      </c>
    </row>
    <row r="10705">
      <c r="A10705" s="3" t="n">
        <v>2022</v>
      </c>
      <c r="B10705" s="4" t="n">
        <v>64500</v>
      </c>
      <c r="C10705" s="4" t="n">
        <v>2899</v>
      </c>
      <c r="D10705" s="4" t="n">
        <v>876.9475</v>
      </c>
      <c r="E10705" s="5" t="n">
        <v>73.59999999999999</v>
      </c>
      <c r="F10705" s="3" t="inlineStr">
        <is>
          <t>연기면</t>
        </is>
      </c>
      <c r="G10705" s="3" t="inlineStr">
        <is>
          <t>수산리</t>
        </is>
      </c>
      <c r="H10705" s="3" t="inlineStr">
        <is>
          <t>농림지역</t>
        </is>
      </c>
      <c r="I10705" s="3" t="inlineStr">
        <is>
          <t>답</t>
        </is>
      </c>
      <c r="J10705" s="3" t="inlineStr">
        <is>
          <t>연기면</t>
        </is>
      </c>
    </row>
    <row r="10706">
      <c r="A10706" s="3" t="n">
        <v>2022</v>
      </c>
      <c r="B10706" s="4" t="n">
        <v>41000</v>
      </c>
      <c r="C10706" s="4" t="n">
        <v>592</v>
      </c>
      <c r="D10706" s="4" t="n">
        <v>179.08</v>
      </c>
      <c r="E10706" s="5" t="n">
        <v>228.9</v>
      </c>
      <c r="F10706" s="3" t="inlineStr">
        <is>
          <t>연동면</t>
        </is>
      </c>
      <c r="G10706" s="3" t="inlineStr">
        <is>
          <t>내판리</t>
        </is>
      </c>
      <c r="H10706" s="3" t="inlineStr">
        <is>
          <t>계획관리지역</t>
        </is>
      </c>
      <c r="I10706" s="3" t="inlineStr">
        <is>
          <t>전</t>
        </is>
      </c>
      <c r="J10706" s="3" t="inlineStr">
        <is>
          <t>연동면</t>
        </is>
      </c>
    </row>
    <row r="10707">
      <c r="A10707" s="3" t="n">
        <v>2022</v>
      </c>
      <c r="B10707" s="4" t="n">
        <v>14160</v>
      </c>
      <c r="C10707" s="4" t="n">
        <v>496</v>
      </c>
      <c r="D10707" s="4" t="n">
        <v>150.04</v>
      </c>
      <c r="E10707" s="5" t="n">
        <v>94.40000000000001</v>
      </c>
      <c r="F10707" s="3" t="inlineStr">
        <is>
          <t>장군면</t>
        </is>
      </c>
      <c r="G10707" s="3" t="inlineStr">
        <is>
          <t>봉안리</t>
        </is>
      </c>
      <c r="H10707" s="3" t="inlineStr">
        <is>
          <t>계획관리지역</t>
        </is>
      </c>
      <c r="I10707" s="3" t="inlineStr">
        <is>
          <t>목장용지</t>
        </is>
      </c>
      <c r="J10707" s="3" t="inlineStr">
        <is>
          <t>장군면</t>
        </is>
      </c>
    </row>
    <row r="10708">
      <c r="A10708" s="3" t="n">
        <v>2022</v>
      </c>
      <c r="B10708" s="4" t="n">
        <v>500</v>
      </c>
      <c r="C10708" s="4" t="n">
        <v>85</v>
      </c>
      <c r="D10708" s="4" t="n">
        <v>25.7125</v>
      </c>
      <c r="E10708" s="5" t="n">
        <v>19.4</v>
      </c>
      <c r="F10708" s="3" t="inlineStr">
        <is>
          <t>장군면</t>
        </is>
      </c>
      <c r="G10708" s="3" t="inlineStr">
        <is>
          <t>대교리</t>
        </is>
      </c>
      <c r="H10708" s="3" t="inlineStr">
        <is>
          <t>농림지역</t>
        </is>
      </c>
      <c r="I10708" s="3" t="inlineStr">
        <is>
          <t>답</t>
        </is>
      </c>
      <c r="J10708" s="3" t="inlineStr">
        <is>
          <t>장군면</t>
        </is>
      </c>
    </row>
    <row r="10709">
      <c r="A10709" s="3" t="n">
        <v>2022</v>
      </c>
      <c r="B10709" s="4" t="n">
        <v>4500</v>
      </c>
      <c r="C10709" s="4" t="n">
        <v>764</v>
      </c>
      <c r="D10709" s="4" t="n">
        <v>231.11</v>
      </c>
      <c r="E10709" s="5" t="n">
        <v>19.5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농림지역</t>
        </is>
      </c>
      <c r="I10709" s="3" t="inlineStr">
        <is>
          <t>답</t>
        </is>
      </c>
      <c r="J10709" s="3" t="inlineStr">
        <is>
          <t>장군면</t>
        </is>
      </c>
    </row>
    <row r="10710">
      <c r="A10710" s="3" t="n">
        <v>2022</v>
      </c>
      <c r="B10710" s="4" t="n">
        <v>20405</v>
      </c>
      <c r="C10710" s="4" t="n">
        <v>417</v>
      </c>
      <c r="D10710" s="4" t="n">
        <v>126.1425</v>
      </c>
      <c r="E10710" s="5" t="n">
        <v>161.8</v>
      </c>
      <c r="F10710" s="3" t="inlineStr">
        <is>
          <t>금남면</t>
        </is>
      </c>
      <c r="G10710" s="3" t="inlineStr">
        <is>
          <t>축산리</t>
        </is>
      </c>
      <c r="H10710" s="3" t="inlineStr">
        <is>
          <t>자연녹지지역</t>
        </is>
      </c>
      <c r="I10710" s="3" t="inlineStr">
        <is>
          <t>대</t>
        </is>
      </c>
      <c r="J10710" s="3" t="inlineStr">
        <is>
          <t>금남면</t>
        </is>
      </c>
    </row>
    <row r="10711">
      <c r="A10711" s="3" t="n">
        <v>2022</v>
      </c>
      <c r="B10711" s="4" t="n">
        <v>19789</v>
      </c>
      <c r="C10711" s="4" t="n">
        <v>631</v>
      </c>
      <c r="D10711" s="4" t="n">
        <v>190.8775</v>
      </c>
      <c r="E10711" s="5" t="n">
        <v>103.7</v>
      </c>
      <c r="F10711" s="3" t="inlineStr">
        <is>
          <t>금남면</t>
        </is>
      </c>
      <c r="G10711" s="3" t="inlineStr">
        <is>
          <t>축산리</t>
        </is>
      </c>
      <c r="H10711" s="3" t="inlineStr">
        <is>
          <t>자연녹지지역</t>
        </is>
      </c>
      <c r="I10711" s="3" t="inlineStr">
        <is>
          <t>전</t>
        </is>
      </c>
      <c r="J10711" s="3" t="inlineStr">
        <is>
          <t>금남면</t>
        </is>
      </c>
    </row>
    <row r="10712">
      <c r="A10712" s="3" t="n">
        <v>2022</v>
      </c>
      <c r="B10712" s="4" t="n">
        <v>552000</v>
      </c>
      <c r="C10712" s="4" t="n">
        <v>13223</v>
      </c>
      <c r="D10712" s="4" t="n">
        <v>3999.9575</v>
      </c>
      <c r="E10712" s="5" t="n">
        <v>138</v>
      </c>
      <c r="F10712" s="3" t="inlineStr">
        <is>
          <t>전동면</t>
        </is>
      </c>
      <c r="G10712" s="3" t="inlineStr">
        <is>
          <t>심중리</t>
        </is>
      </c>
      <c r="H10712" s="3" t="inlineStr">
        <is>
          <t>준공업지역</t>
        </is>
      </c>
      <c r="I10712" s="3" t="inlineStr">
        <is>
          <t>전</t>
        </is>
      </c>
      <c r="J10712" s="3" t="inlineStr">
        <is>
          <t>전동면</t>
        </is>
      </c>
    </row>
    <row r="10713">
      <c r="A10713" s="3" t="n">
        <v>2022</v>
      </c>
      <c r="B10713" s="4" t="n">
        <v>68900</v>
      </c>
      <c r="C10713" s="4" t="n">
        <v>1426</v>
      </c>
      <c r="D10713" s="4" t="n">
        <v>431.365</v>
      </c>
      <c r="E10713" s="5" t="n">
        <v>159.7</v>
      </c>
      <c r="F10713" s="3" t="inlineStr">
        <is>
          <t>금남면</t>
        </is>
      </c>
      <c r="G10713" s="3" t="inlineStr">
        <is>
          <t>대박리</t>
        </is>
      </c>
      <c r="H10713" s="3" t="inlineStr">
        <is>
          <t>생산관리지역</t>
        </is>
      </c>
      <c r="I10713" s="3" t="inlineStr">
        <is>
          <t>답</t>
        </is>
      </c>
      <c r="J10713" s="3" t="inlineStr">
        <is>
          <t>금남면</t>
        </is>
      </c>
    </row>
    <row r="10714">
      <c r="A10714" s="3" t="n">
        <v>2022</v>
      </c>
      <c r="B10714" s="4" t="n">
        <v>66667</v>
      </c>
      <c r="C10714" s="4" t="n">
        <v>2196</v>
      </c>
      <c r="D10714" s="4" t="n">
        <v>664.29</v>
      </c>
      <c r="E10714" s="5" t="n">
        <v>100.4</v>
      </c>
      <c r="F10714" s="3" t="inlineStr">
        <is>
          <t>장군면</t>
        </is>
      </c>
      <c r="G10714" s="3" t="inlineStr">
        <is>
          <t>봉안리</t>
        </is>
      </c>
      <c r="H10714" s="3" t="inlineStr">
        <is>
          <t>보전관리지역</t>
        </is>
      </c>
      <c r="I10714" s="3" t="inlineStr">
        <is>
          <t>임야</t>
        </is>
      </c>
      <c r="J10714" s="3" t="inlineStr">
        <is>
          <t>장군면</t>
        </is>
      </c>
    </row>
    <row r="10715">
      <c r="A10715" s="3" t="n">
        <v>2022</v>
      </c>
      <c r="B10715" s="4" t="n">
        <v>33334</v>
      </c>
      <c r="C10715" s="4" t="n">
        <v>1098</v>
      </c>
      <c r="D10715" s="4" t="n">
        <v>332.145</v>
      </c>
      <c r="E10715" s="5" t="n">
        <v>100.4</v>
      </c>
      <c r="F10715" s="3" t="inlineStr">
        <is>
          <t>장군면</t>
        </is>
      </c>
      <c r="G10715" s="3" t="inlineStr">
        <is>
          <t>봉안리</t>
        </is>
      </c>
      <c r="H10715" s="3" t="inlineStr">
        <is>
          <t>보전관리지역</t>
        </is>
      </c>
      <c r="I10715" s="3" t="inlineStr">
        <is>
          <t>임야</t>
        </is>
      </c>
      <c r="J10715" s="3" t="inlineStr">
        <is>
          <t>장군면</t>
        </is>
      </c>
    </row>
    <row r="10716">
      <c r="A10716" s="3" t="n">
        <v>2022</v>
      </c>
      <c r="B10716" s="4" t="n">
        <v>43750</v>
      </c>
      <c r="C10716" s="4" t="n">
        <v>1157</v>
      </c>
      <c r="D10716" s="4" t="n">
        <v>349.9925</v>
      </c>
      <c r="E10716" s="5" t="n">
        <v>125</v>
      </c>
      <c r="F10716" s="3" t="inlineStr">
        <is>
          <t>전의면</t>
        </is>
      </c>
      <c r="G10716" s="3" t="inlineStr">
        <is>
          <t>신정리</t>
        </is>
      </c>
      <c r="H10716" s="3" t="inlineStr">
        <is>
          <t>계획관리지역</t>
        </is>
      </c>
      <c r="I10716" s="3" t="inlineStr">
        <is>
          <t>전</t>
        </is>
      </c>
      <c r="J10716" s="3" t="inlineStr">
        <is>
          <t>전의면</t>
        </is>
      </c>
    </row>
    <row r="10717">
      <c r="A10717" s="3" t="n">
        <v>2022</v>
      </c>
      <c r="B10717" s="4" t="n">
        <v>84231</v>
      </c>
      <c r="C10717" s="4" t="n">
        <v>1894</v>
      </c>
      <c r="D10717" s="4" t="n">
        <v>572.9349999999999</v>
      </c>
      <c r="E10717" s="5" t="n">
        <v>147</v>
      </c>
      <c r="F10717" s="3" t="inlineStr">
        <is>
          <t>부강면</t>
        </is>
      </c>
      <c r="G10717" s="3" t="inlineStr">
        <is>
          <t>갈산리</t>
        </is>
      </c>
      <c r="H10717" s="3" t="inlineStr">
        <is>
          <t>계획관리지역</t>
        </is>
      </c>
      <c r="I10717" s="3" t="inlineStr">
        <is>
          <t>전</t>
        </is>
      </c>
      <c r="J10717" s="3" t="inlineStr">
        <is>
          <t>부강면</t>
        </is>
      </c>
    </row>
    <row r="10718">
      <c r="A10718" s="3" t="n">
        <v>2022</v>
      </c>
      <c r="B10718" s="4" t="n">
        <v>4922</v>
      </c>
      <c r="C10718" s="4" t="n">
        <v>169</v>
      </c>
      <c r="D10718" s="4" t="n">
        <v>51.1225</v>
      </c>
      <c r="E10718" s="5" t="n">
        <v>96.3</v>
      </c>
      <c r="F10718" s="3" t="inlineStr">
        <is>
          <t>부강면</t>
        </is>
      </c>
      <c r="G10718" s="3" t="inlineStr">
        <is>
          <t>갈산리</t>
        </is>
      </c>
      <c r="H10718" s="3" t="inlineStr">
        <is>
          <t>계획관리지역</t>
        </is>
      </c>
      <c r="I10718" s="3" t="inlineStr">
        <is>
          <t>임야</t>
        </is>
      </c>
      <c r="J10718" s="3" t="inlineStr">
        <is>
          <t>부강면</t>
        </is>
      </c>
    </row>
    <row r="10719">
      <c r="A10719" s="3" t="n">
        <v>2022</v>
      </c>
      <c r="B10719" s="4" t="n">
        <v>32825</v>
      </c>
      <c r="C10719" s="4" t="n">
        <v>1127</v>
      </c>
      <c r="D10719" s="4" t="n">
        <v>340.9175</v>
      </c>
      <c r="E10719" s="5" t="n">
        <v>96.3</v>
      </c>
      <c r="F10719" s="3" t="inlineStr">
        <is>
          <t>부강면</t>
        </is>
      </c>
      <c r="G10719" s="3" t="inlineStr">
        <is>
          <t>갈산리</t>
        </is>
      </c>
      <c r="H10719" s="3" t="inlineStr">
        <is>
          <t>계획관리지역</t>
        </is>
      </c>
      <c r="I10719" s="3" t="inlineStr">
        <is>
          <t>임야</t>
        </is>
      </c>
      <c r="J10719" s="3" t="inlineStr">
        <is>
          <t>부강면</t>
        </is>
      </c>
    </row>
    <row r="10720">
      <c r="A10720" s="3" t="n">
        <v>2022</v>
      </c>
      <c r="B10720" s="4" t="n">
        <v>13572</v>
      </c>
      <c r="C10720" s="4" t="n">
        <v>466</v>
      </c>
      <c r="D10720" s="4" t="n">
        <v>140.965</v>
      </c>
      <c r="E10720" s="5" t="n">
        <v>96.3</v>
      </c>
      <c r="F10720" s="3" t="inlineStr">
        <is>
          <t>부강면</t>
        </is>
      </c>
      <c r="G10720" s="3" t="inlineStr">
        <is>
          <t>갈산리</t>
        </is>
      </c>
      <c r="H10720" s="3" t="inlineStr">
        <is>
          <t>계획관리지역</t>
        </is>
      </c>
      <c r="I10720" s="3" t="inlineStr">
        <is>
          <t>답</t>
        </is>
      </c>
      <c r="J10720" s="3" t="inlineStr">
        <is>
          <t>부강면</t>
        </is>
      </c>
    </row>
    <row r="10721">
      <c r="A10721" s="3" t="n">
        <v>2022</v>
      </c>
      <c r="B10721" s="4" t="n">
        <v>62097</v>
      </c>
      <c r="C10721" s="4" t="n">
        <v>1283</v>
      </c>
      <c r="D10721" s="4" t="n">
        <v>388.1075</v>
      </c>
      <c r="E10721" s="5" t="n">
        <v>160</v>
      </c>
      <c r="F10721" s="3" t="inlineStr">
        <is>
          <t>부강면</t>
        </is>
      </c>
      <c r="G10721" s="3" t="inlineStr">
        <is>
          <t>갈산리</t>
        </is>
      </c>
      <c r="H10721" s="3" t="inlineStr">
        <is>
          <t>계획관리지역</t>
        </is>
      </c>
      <c r="I10721" s="3" t="inlineStr">
        <is>
          <t>공장용지</t>
        </is>
      </c>
      <c r="J10721" s="3" t="inlineStr">
        <is>
          <t>부강면</t>
        </is>
      </c>
    </row>
    <row r="10722">
      <c r="A10722" s="3" t="n">
        <v>2025</v>
      </c>
      <c r="B10722" s="4" t="n">
        <v>100</v>
      </c>
      <c r="C10722" s="4" t="n">
        <v>66</v>
      </c>
      <c r="D10722" s="4" t="n">
        <v>19.965</v>
      </c>
      <c r="E10722" s="5" t="n">
        <v>5</v>
      </c>
      <c r="F10722" s="3" t="inlineStr">
        <is>
          <t>유구읍</t>
        </is>
      </c>
      <c r="G10722" s="3" t="inlineStr">
        <is>
          <t>문금리</t>
        </is>
      </c>
      <c r="H10722" s="3" t="inlineStr">
        <is>
          <t>계획관리지역</t>
        </is>
      </c>
      <c r="I10722" s="3" t="inlineStr">
        <is>
          <t>전</t>
        </is>
      </c>
      <c r="J10722" s="3" t="inlineStr">
        <is>
          <t>유구읍</t>
        </is>
      </c>
    </row>
    <row r="10723">
      <c r="A10723" s="3" t="n">
        <v>2025</v>
      </c>
      <c r="B10723" s="4" t="n">
        <v>2428</v>
      </c>
      <c r="C10723" s="4" t="n">
        <v>846</v>
      </c>
      <c r="D10723" s="4" t="n">
        <v>255.915</v>
      </c>
      <c r="E10723" s="5" t="n">
        <v>9.5</v>
      </c>
      <c r="F10723" s="3" t="inlineStr">
        <is>
          <t>유구읍</t>
        </is>
      </c>
      <c r="G10723" s="3" t="inlineStr">
        <is>
          <t>만천리</t>
        </is>
      </c>
      <c r="H10723" s="3" t="inlineStr">
        <is>
          <t>계획관리지역</t>
        </is>
      </c>
      <c r="I10723" s="3" t="inlineStr">
        <is>
          <t>답</t>
        </is>
      </c>
      <c r="J10723" s="3" t="inlineStr">
        <is>
          <t>유구읍</t>
        </is>
      </c>
    </row>
    <row r="10724">
      <c r="A10724" s="3" t="n">
        <v>2025</v>
      </c>
      <c r="B10724" s="4" t="n">
        <v>1572</v>
      </c>
      <c r="C10724" s="4" t="n">
        <v>684</v>
      </c>
      <c r="D10724" s="4" t="n">
        <v>206.91</v>
      </c>
      <c r="E10724" s="5" t="n">
        <v>7.6</v>
      </c>
      <c r="F10724" s="3" t="inlineStr">
        <is>
          <t>유구읍</t>
        </is>
      </c>
      <c r="G10724" s="3" t="inlineStr">
        <is>
          <t>만천리</t>
        </is>
      </c>
      <c r="H10724" s="3" t="inlineStr">
        <is>
          <t>계획관리지역</t>
        </is>
      </c>
      <c r="I10724" s="3" t="inlineStr">
        <is>
          <t>답</t>
        </is>
      </c>
      <c r="J10724" s="3" t="inlineStr">
        <is>
          <t>유구읍</t>
        </is>
      </c>
    </row>
    <row r="10725">
      <c r="A10725" s="3" t="n">
        <v>2025</v>
      </c>
      <c r="B10725" s="4" t="n">
        <v>1230</v>
      </c>
      <c r="C10725" s="4" t="n">
        <v>135</v>
      </c>
      <c r="D10725" s="4" t="n">
        <v>40.8375</v>
      </c>
      <c r="E10725" s="5" t="n">
        <v>30.1</v>
      </c>
      <c r="F10725" s="3" t="inlineStr">
        <is>
          <t>유구읍</t>
        </is>
      </c>
      <c r="G10725" s="3" t="inlineStr">
        <is>
          <t>명곡리</t>
        </is>
      </c>
      <c r="H10725" s="3" t="inlineStr">
        <is>
          <t>계획관리지역</t>
        </is>
      </c>
      <c r="I10725" s="3" t="inlineStr">
        <is>
          <t>대</t>
        </is>
      </c>
      <c r="J10725" s="3" t="inlineStr">
        <is>
          <t>유구읍</t>
        </is>
      </c>
    </row>
    <row r="10726">
      <c r="A10726" s="3" t="n">
        <v>2025</v>
      </c>
      <c r="B10726" s="4" t="n">
        <v>700</v>
      </c>
      <c r="C10726" s="4" t="n">
        <v>402</v>
      </c>
      <c r="D10726" s="4" t="n">
        <v>121.605</v>
      </c>
      <c r="E10726" s="5" t="n">
        <v>5.8</v>
      </c>
      <c r="F10726" s="3" t="inlineStr">
        <is>
          <t>유구읍</t>
        </is>
      </c>
      <c r="G10726" s="3" t="inlineStr">
        <is>
          <t>동해리</t>
        </is>
      </c>
      <c r="H10726" s="3" t="inlineStr">
        <is>
          <t>계획관리지역</t>
        </is>
      </c>
      <c r="I10726" s="3" t="inlineStr">
        <is>
          <t>답</t>
        </is>
      </c>
      <c r="J10726" s="3" t="inlineStr">
        <is>
          <t>유구읍</t>
        </is>
      </c>
    </row>
    <row r="10727">
      <c r="A10727" s="3" t="n">
        <v>2025</v>
      </c>
      <c r="B10727" s="4" t="n">
        <v>700</v>
      </c>
      <c r="C10727" s="4" t="n">
        <v>402</v>
      </c>
      <c r="D10727" s="4" t="n">
        <v>121.605</v>
      </c>
      <c r="E10727" s="5" t="n">
        <v>5.8</v>
      </c>
      <c r="F10727" s="3" t="inlineStr">
        <is>
          <t>유구읍</t>
        </is>
      </c>
      <c r="G10727" s="3" t="inlineStr">
        <is>
          <t>동해리</t>
        </is>
      </c>
      <c r="H10727" s="3" t="inlineStr">
        <is>
          <t>계획관리지역</t>
        </is>
      </c>
      <c r="I10727" s="3" t="inlineStr">
        <is>
          <t>답</t>
        </is>
      </c>
      <c r="J10727" s="3" t="inlineStr">
        <is>
          <t>유구읍</t>
        </is>
      </c>
    </row>
    <row r="10728">
      <c r="A10728" s="3" t="n">
        <v>2025</v>
      </c>
      <c r="B10728" s="4" t="n">
        <v>8430</v>
      </c>
      <c r="C10728" s="4" t="n">
        <v>1858</v>
      </c>
      <c r="D10728" s="4" t="n">
        <v>562.045</v>
      </c>
      <c r="E10728" s="5" t="n">
        <v>15</v>
      </c>
      <c r="F10728" s="3" t="inlineStr">
        <is>
          <t>유구읍</t>
        </is>
      </c>
      <c r="G10728" s="3" t="inlineStr">
        <is>
          <t>명곡리</t>
        </is>
      </c>
      <c r="H10728" s="3" t="inlineStr">
        <is>
          <t>계획관리지역</t>
        </is>
      </c>
      <c r="I10728" s="3" t="inlineStr">
        <is>
          <t>전</t>
        </is>
      </c>
      <c r="J10728" s="3" t="inlineStr">
        <is>
          <t>유구읍</t>
        </is>
      </c>
    </row>
    <row r="10729">
      <c r="A10729" s="3" t="n">
        <v>2025</v>
      </c>
      <c r="B10729" s="4" t="n">
        <v>5600</v>
      </c>
      <c r="C10729" s="4" t="n">
        <v>668</v>
      </c>
      <c r="D10729" s="4" t="n">
        <v>202.07</v>
      </c>
      <c r="E10729" s="5" t="n">
        <v>27.7</v>
      </c>
      <c r="F10729" s="3" t="inlineStr">
        <is>
          <t>유구읍</t>
        </is>
      </c>
      <c r="G10729" s="3" t="inlineStr">
        <is>
          <t>유구리</t>
        </is>
      </c>
      <c r="H10729" s="3" t="inlineStr">
        <is>
          <t>자연녹지지역</t>
        </is>
      </c>
      <c r="I10729" s="3" t="inlineStr">
        <is>
          <t>전</t>
        </is>
      </c>
      <c r="J10729" s="3" t="inlineStr">
        <is>
          <t>유구읍</t>
        </is>
      </c>
    </row>
    <row r="10730">
      <c r="A10730" s="3" t="n">
        <v>2025</v>
      </c>
      <c r="B10730" s="4" t="n">
        <v>600</v>
      </c>
      <c r="C10730" s="4" t="n">
        <v>395</v>
      </c>
      <c r="D10730" s="4" t="n">
        <v>119.4875</v>
      </c>
      <c r="E10730" s="5" t="n">
        <v>5</v>
      </c>
      <c r="F10730" s="3" t="inlineStr">
        <is>
          <t>유구읍</t>
        </is>
      </c>
      <c r="G10730" s="3" t="inlineStr">
        <is>
          <t>유구리</t>
        </is>
      </c>
      <c r="H10730" s="3" t="inlineStr">
        <is>
          <t>자연녹지지역</t>
        </is>
      </c>
      <c r="I10730" s="3" t="inlineStr">
        <is>
          <t>임야</t>
        </is>
      </c>
      <c r="J10730" s="3" t="inlineStr">
        <is>
          <t>유구읍</t>
        </is>
      </c>
    </row>
    <row r="10731">
      <c r="A10731" s="3" t="n">
        <v>2026</v>
      </c>
      <c r="B10731" s="4" t="n">
        <v>200</v>
      </c>
      <c r="C10731" s="4" t="n">
        <v>563</v>
      </c>
      <c r="D10731" s="4" t="n">
        <v>170.3075</v>
      </c>
      <c r="E10731" s="5" t="n">
        <v>1.2</v>
      </c>
      <c r="F10731" s="3" t="inlineStr">
        <is>
          <t>유구읍</t>
        </is>
      </c>
      <c r="G10731" s="3" t="inlineStr">
        <is>
          <t>신달리</t>
        </is>
      </c>
      <c r="H10731" s="3" t="inlineStr">
        <is>
          <t>농림지역</t>
        </is>
      </c>
      <c r="I10731" s="3" t="inlineStr">
        <is>
          <t>임야</t>
        </is>
      </c>
      <c r="J10731" s="3" t="inlineStr">
        <is>
          <t>유구읍</t>
        </is>
      </c>
    </row>
    <row r="10732">
      <c r="A10732" s="3" t="n">
        <v>2026</v>
      </c>
      <c r="B10732" s="4" t="n">
        <v>628</v>
      </c>
      <c r="C10732" s="4" t="n">
        <v>198</v>
      </c>
      <c r="D10732" s="4" t="n">
        <v>59.895</v>
      </c>
      <c r="E10732" s="5" t="n">
        <v>10.5</v>
      </c>
      <c r="F10732" s="3" t="inlineStr">
        <is>
          <t>유구읍</t>
        </is>
      </c>
      <c r="G10732" s="3" t="inlineStr">
        <is>
          <t>백교리</t>
        </is>
      </c>
      <c r="H10732" s="3" t="inlineStr">
        <is>
          <t>농림지역</t>
        </is>
      </c>
      <c r="I10732" s="3" t="inlineStr">
        <is>
          <t>답</t>
        </is>
      </c>
      <c r="J10732" s="3" t="inlineStr">
        <is>
          <t>유구읍</t>
        </is>
      </c>
    </row>
    <row r="10733">
      <c r="A10733" s="3" t="n">
        <v>2023</v>
      </c>
      <c r="B10733" s="4" t="n">
        <v>35000</v>
      </c>
      <c r="C10733" s="4" t="n">
        <v>315</v>
      </c>
      <c r="D10733" s="4" t="n">
        <v>95.28749999999999</v>
      </c>
      <c r="E10733" s="5" t="n">
        <v>367.3</v>
      </c>
      <c r="F10733" s="3" t="inlineStr">
        <is>
          <t>장군면</t>
        </is>
      </c>
      <c r="G10733" s="3" t="inlineStr">
        <is>
          <t>봉안리</t>
        </is>
      </c>
      <c r="H10733" s="3" t="inlineStr">
        <is>
          <t>보전관리지역</t>
        </is>
      </c>
      <c r="I10733" s="3" t="inlineStr">
        <is>
          <t>임야</t>
        </is>
      </c>
      <c r="J10733" s="3" t="inlineStr">
        <is>
          <t>장군면</t>
        </is>
      </c>
    </row>
    <row r="10734">
      <c r="A10734" s="3" t="n">
        <v>2023</v>
      </c>
      <c r="B10734" s="4" t="n">
        <v>438</v>
      </c>
      <c r="C10734" s="4" t="n">
        <v>116</v>
      </c>
      <c r="D10734" s="4" t="n">
        <v>35.09</v>
      </c>
      <c r="E10734" s="5" t="n">
        <v>12.5</v>
      </c>
      <c r="F10734" s="3" t="inlineStr">
        <is>
          <t>전의면</t>
        </is>
      </c>
      <c r="G10734" s="3" t="inlineStr">
        <is>
          <t>신정리</t>
        </is>
      </c>
      <c r="H10734" s="3" t="inlineStr">
        <is>
          <t>계획관리지역</t>
        </is>
      </c>
      <c r="I10734" s="3" t="inlineStr">
        <is>
          <t>도로</t>
        </is>
      </c>
      <c r="J10734" s="3" t="inlineStr">
        <is>
          <t>전의면</t>
        </is>
      </c>
    </row>
    <row r="10735">
      <c r="A10735" s="3" t="n">
        <v>2023</v>
      </c>
      <c r="B10735" s="4" t="n">
        <v>1920</v>
      </c>
      <c r="C10735" s="4" t="n">
        <v>55</v>
      </c>
      <c r="D10735" s="4" t="n">
        <v>16.6375</v>
      </c>
      <c r="E10735" s="5" t="n">
        <v>115.4</v>
      </c>
      <c r="F10735" s="3" t="inlineStr">
        <is>
          <t>부강면</t>
        </is>
      </c>
      <c r="G10735" s="3" t="inlineStr">
        <is>
          <t>문곡리</t>
        </is>
      </c>
      <c r="H10735" s="3" t="inlineStr">
        <is>
          <t>계획관리지역</t>
        </is>
      </c>
      <c r="I10735" s="3" t="inlineStr">
        <is>
          <t>대</t>
        </is>
      </c>
      <c r="J10735" s="3" t="inlineStr">
        <is>
          <t>부강면</t>
        </is>
      </c>
    </row>
    <row r="10736">
      <c r="A10736" s="3" t="n">
        <v>2023</v>
      </c>
      <c r="B10736" s="4" t="n">
        <v>114200</v>
      </c>
      <c r="C10736" s="4" t="n">
        <v>1190</v>
      </c>
      <c r="D10736" s="4" t="n">
        <v>359.975</v>
      </c>
      <c r="E10736" s="5" t="n">
        <v>317.2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자연녹지지역</t>
        </is>
      </c>
      <c r="I10736" s="3" t="inlineStr">
        <is>
          <t>과수원</t>
        </is>
      </c>
      <c r="J10736" s="3" t="inlineStr">
        <is>
          <t>연서면</t>
        </is>
      </c>
    </row>
    <row r="10737">
      <c r="A10737" s="3" t="n">
        <v>2023</v>
      </c>
      <c r="B10737" s="4" t="n">
        <v>9000</v>
      </c>
      <c r="C10737" s="4" t="n">
        <v>99</v>
      </c>
      <c r="D10737" s="4" t="n">
        <v>29.9475</v>
      </c>
      <c r="E10737" s="5" t="n">
        <v>300.5</v>
      </c>
      <c r="F10737" s="3" t="inlineStr">
        <is>
          <t>연서면</t>
        </is>
      </c>
      <c r="G10737" s="3" t="inlineStr">
        <is>
          <t>월하리</t>
        </is>
      </c>
      <c r="H10737" s="3" t="inlineStr">
        <is>
          <t>자연녹지지역</t>
        </is>
      </c>
      <c r="I10737" s="3" t="inlineStr">
        <is>
          <t>임야</t>
        </is>
      </c>
      <c r="J10737" s="3" t="inlineStr">
        <is>
          <t>연서면</t>
        </is>
      </c>
    </row>
    <row r="10738">
      <c r="A10738" s="3" t="n">
        <v>2023</v>
      </c>
      <c r="B10738" s="4" t="n">
        <v>4800</v>
      </c>
      <c r="C10738" s="4" t="n">
        <v>53</v>
      </c>
      <c r="D10738" s="4" t="n">
        <v>16.0325</v>
      </c>
      <c r="E10738" s="5" t="n">
        <v>299.4</v>
      </c>
      <c r="F10738" s="3" t="inlineStr">
        <is>
          <t>연서면</t>
        </is>
      </c>
      <c r="G10738" s="3" t="inlineStr">
        <is>
          <t>월하리</t>
        </is>
      </c>
      <c r="H10738" s="3" t="inlineStr">
        <is>
          <t>자연녹지지역</t>
        </is>
      </c>
      <c r="I10738" s="3" t="inlineStr">
        <is>
          <t>임야</t>
        </is>
      </c>
      <c r="J10738" s="3" t="inlineStr">
        <is>
          <t>연서면</t>
        </is>
      </c>
    </row>
    <row r="10739">
      <c r="A10739" s="3" t="n">
        <v>2023</v>
      </c>
      <c r="B10739" s="4" t="n">
        <v>10200</v>
      </c>
      <c r="C10739" s="4" t="n">
        <v>112</v>
      </c>
      <c r="D10739" s="4" t="n">
        <v>33.88</v>
      </c>
      <c r="E10739" s="5" t="n">
        <v>301.1</v>
      </c>
      <c r="F10739" s="3" t="inlineStr">
        <is>
          <t>연서면</t>
        </is>
      </c>
      <c r="G10739" s="3" t="inlineStr">
        <is>
          <t>월하리</t>
        </is>
      </c>
      <c r="H10739" s="3" t="inlineStr">
        <is>
          <t>자연녹지지역</t>
        </is>
      </c>
      <c r="I10739" s="3" t="inlineStr">
        <is>
          <t>임야</t>
        </is>
      </c>
      <c r="J10739" s="3" t="inlineStr">
        <is>
          <t>연서면</t>
        </is>
      </c>
    </row>
    <row r="10740">
      <c r="A10740" s="3" t="n">
        <v>2023</v>
      </c>
      <c r="B10740" s="4" t="n">
        <v>1800</v>
      </c>
      <c r="C10740" s="4" t="n">
        <v>20</v>
      </c>
      <c r="D10740" s="4" t="n">
        <v>6.05</v>
      </c>
      <c r="E10740" s="5" t="n">
        <v>297.5</v>
      </c>
      <c r="F10740" s="3" t="inlineStr">
        <is>
          <t>연서면</t>
        </is>
      </c>
      <c r="G10740" s="3" t="inlineStr">
        <is>
          <t>월하리</t>
        </is>
      </c>
      <c r="H10740" s="3" t="inlineStr">
        <is>
          <t>자연녹지지역</t>
        </is>
      </c>
      <c r="I10740" s="3" t="inlineStr">
        <is>
          <t>임야</t>
        </is>
      </c>
      <c r="J10740" s="3" t="inlineStr">
        <is>
          <t>연서면</t>
        </is>
      </c>
    </row>
    <row r="10741">
      <c r="A10741" s="3" t="n">
        <v>2023</v>
      </c>
      <c r="B10741" s="4" t="n">
        <v>23420</v>
      </c>
      <c r="C10741" s="4" t="n">
        <v>302</v>
      </c>
      <c r="D10741" s="4" t="n">
        <v>91.355</v>
      </c>
      <c r="E10741" s="5" t="n">
        <v>256.4</v>
      </c>
      <c r="F10741" s="3" t="inlineStr">
        <is>
          <t>연서면</t>
        </is>
      </c>
      <c r="G10741" s="3" t="inlineStr">
        <is>
          <t>와촌리</t>
        </is>
      </c>
      <c r="H10741" s="3" t="inlineStr">
        <is>
          <t>보전관리지역</t>
        </is>
      </c>
      <c r="I10741" s="3" t="inlineStr">
        <is>
          <t>임야</t>
        </is>
      </c>
      <c r="J10741" s="3" t="inlineStr">
        <is>
          <t>연서면</t>
        </is>
      </c>
    </row>
    <row r="10742">
      <c r="A10742" s="3" t="n">
        <v>2023</v>
      </c>
      <c r="B10742" s="4" t="n">
        <v>6500</v>
      </c>
      <c r="C10742" s="4" t="n">
        <v>302</v>
      </c>
      <c r="D10742" s="4" t="n">
        <v>91.355</v>
      </c>
      <c r="E10742" s="5" t="n">
        <v>71.2</v>
      </c>
      <c r="F10742" s="3" t="inlineStr">
        <is>
          <t>연서면</t>
        </is>
      </c>
      <c r="G10742" s="3" t="inlineStr">
        <is>
          <t>와촌리</t>
        </is>
      </c>
      <c r="H10742" s="3" t="inlineStr">
        <is>
          <t>보전관리지역</t>
        </is>
      </c>
      <c r="I10742" s="3" t="inlineStr">
        <is>
          <t>임야</t>
        </is>
      </c>
      <c r="J10742" s="3" t="inlineStr">
        <is>
          <t>연서면</t>
        </is>
      </c>
    </row>
    <row r="10743">
      <c r="A10743" s="3" t="n">
        <v>2022</v>
      </c>
      <c r="B10743" s="4" t="n">
        <v>30000</v>
      </c>
      <c r="C10743" s="4" t="n">
        <v>2072</v>
      </c>
      <c r="D10743" s="4" t="n">
        <v>626.78</v>
      </c>
      <c r="E10743" s="5" t="n">
        <v>47.9</v>
      </c>
      <c r="F10743" s="3" t="inlineStr">
        <is>
          <t>유구읍</t>
        </is>
      </c>
      <c r="G10743" s="3" t="inlineStr">
        <is>
          <t>석남리</t>
        </is>
      </c>
      <c r="H10743" s="3" t="inlineStr">
        <is>
          <t>자연녹지지역</t>
        </is>
      </c>
      <c r="I10743" s="3" t="inlineStr">
        <is>
          <t>답</t>
        </is>
      </c>
      <c r="J10743" s="3" t="inlineStr">
        <is>
          <t>유구읍</t>
        </is>
      </c>
    </row>
    <row r="10744">
      <c r="A10744" s="3" t="n">
        <v>2022</v>
      </c>
      <c r="B10744" s="4" t="n">
        <v>10000</v>
      </c>
      <c r="C10744" s="4" t="n">
        <v>742</v>
      </c>
      <c r="D10744" s="4" t="n">
        <v>224.455</v>
      </c>
      <c r="E10744" s="5" t="n">
        <v>44.6</v>
      </c>
      <c r="F10744" s="3" t="inlineStr">
        <is>
          <t>유구읍</t>
        </is>
      </c>
      <c r="G10744" s="3" t="inlineStr">
        <is>
          <t>석남리</t>
        </is>
      </c>
      <c r="H10744" s="3" t="inlineStr">
        <is>
          <t>자연녹지지역</t>
        </is>
      </c>
      <c r="I10744" s="3" t="inlineStr">
        <is>
          <t>답</t>
        </is>
      </c>
      <c r="J10744" s="3" t="inlineStr">
        <is>
          <t>유구읍</t>
        </is>
      </c>
    </row>
    <row r="10745">
      <c r="A10745" s="3" t="n">
        <v>2022</v>
      </c>
      <c r="B10745" s="4" t="n">
        <v>9183</v>
      </c>
      <c r="C10745" s="4" t="n">
        <v>2298</v>
      </c>
      <c r="D10745" s="4" t="n">
        <v>695.145</v>
      </c>
      <c r="E10745" s="5" t="n">
        <v>13.2</v>
      </c>
      <c r="F10745" s="3" t="inlineStr">
        <is>
          <t>유구읍</t>
        </is>
      </c>
      <c r="G10745" s="3" t="inlineStr">
        <is>
          <t>추계리</t>
        </is>
      </c>
      <c r="H10745" s="3" t="inlineStr">
        <is>
          <t>보전관리지역</t>
        </is>
      </c>
      <c r="I10745" s="3" t="inlineStr">
        <is>
          <t>전</t>
        </is>
      </c>
      <c r="J10745" s="3" t="inlineStr">
        <is>
          <t>유구읍</t>
        </is>
      </c>
    </row>
    <row r="10746">
      <c r="A10746" s="3" t="n">
        <v>2022</v>
      </c>
      <c r="B10746" s="4" t="n">
        <v>38236</v>
      </c>
      <c r="C10746" s="4" t="n">
        <v>790</v>
      </c>
      <c r="D10746" s="4" t="n">
        <v>238.975</v>
      </c>
      <c r="E10746" s="5" t="n">
        <v>160</v>
      </c>
      <c r="F10746" s="3" t="inlineStr">
        <is>
          <t>부강면</t>
        </is>
      </c>
      <c r="G10746" s="3" t="inlineStr">
        <is>
          <t>갈산리</t>
        </is>
      </c>
      <c r="H10746" s="3" t="inlineStr">
        <is>
          <t>계획관리지역</t>
        </is>
      </c>
      <c r="I10746" s="3" t="inlineStr">
        <is>
          <t>공장용지</t>
        </is>
      </c>
      <c r="J10746" s="3" t="inlineStr">
        <is>
          <t>부강면</t>
        </is>
      </c>
    </row>
    <row r="10747">
      <c r="A10747" s="3" t="n">
        <v>2025</v>
      </c>
      <c r="B10747" s="4" t="n">
        <v>9500</v>
      </c>
      <c r="C10747" s="4" t="n">
        <v>1150</v>
      </c>
      <c r="D10747" s="4" t="n">
        <v>347.875</v>
      </c>
      <c r="E10747" s="5" t="n">
        <v>27.3</v>
      </c>
      <c r="F10747" s="3" t="inlineStr">
        <is>
          <t>전의면</t>
        </is>
      </c>
      <c r="G10747" s="3" t="inlineStr">
        <is>
          <t>노곡리</t>
        </is>
      </c>
      <c r="H10747" s="3" t="inlineStr">
        <is>
          <t>계획관리지역</t>
        </is>
      </c>
      <c r="I10747" s="3" t="inlineStr">
        <is>
          <t>대</t>
        </is>
      </c>
      <c r="J10747" s="3" t="inlineStr">
        <is>
          <t>전의면</t>
        </is>
      </c>
    </row>
    <row r="10748">
      <c r="A10748" s="3" t="n">
        <v>2026</v>
      </c>
      <c r="B10748" s="4" t="n">
        <v>20037</v>
      </c>
      <c r="C10748" s="4" t="n">
        <v>541</v>
      </c>
      <c r="D10748" s="4" t="n">
        <v>163.6525</v>
      </c>
      <c r="E10748" s="5" t="n">
        <v>122.4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자연녹지지역</t>
        </is>
      </c>
      <c r="I10748" s="3" t="inlineStr">
        <is>
          <t>대</t>
        </is>
      </c>
      <c r="J10748" s="3" t="inlineStr">
        <is>
          <t>부강면</t>
        </is>
      </c>
    </row>
    <row r="10749">
      <c r="A10749" s="3" t="n">
        <v>2026</v>
      </c>
      <c r="B10749" s="4" t="n">
        <v>26000</v>
      </c>
      <c r="C10749" s="4" t="n">
        <v>661</v>
      </c>
      <c r="D10749" s="4" t="n">
        <v>199.9525</v>
      </c>
      <c r="E10749" s="5" t="n">
        <v>130</v>
      </c>
      <c r="F10749" s="3" t="inlineStr">
        <is>
          <t>장군면</t>
        </is>
      </c>
      <c r="G10749" s="3" t="inlineStr">
        <is>
          <t>송학리</t>
        </is>
      </c>
      <c r="H10749" s="3" t="inlineStr">
        <is>
          <t>생산관리지역</t>
        </is>
      </c>
      <c r="I10749" s="3" t="inlineStr">
        <is>
          <t>답</t>
        </is>
      </c>
      <c r="J10749" s="3" t="inlineStr">
        <is>
          <t>장군면</t>
        </is>
      </c>
    </row>
    <row r="10750">
      <c r="A10750" s="3" t="n">
        <v>2026</v>
      </c>
      <c r="B10750" s="4" t="n">
        <v>15625</v>
      </c>
      <c r="C10750" s="4" t="n">
        <v>2066</v>
      </c>
      <c r="D10750" s="4" t="n">
        <v>624.965</v>
      </c>
      <c r="E10750" s="5" t="n">
        <v>25</v>
      </c>
      <c r="F10750" s="3" t="inlineStr">
        <is>
          <t>전의면</t>
        </is>
      </c>
      <c r="G10750" s="3" t="inlineStr">
        <is>
          <t>유천리</t>
        </is>
      </c>
      <c r="H10750" s="3" t="inlineStr">
        <is>
          <t>계획관리지역</t>
        </is>
      </c>
      <c r="I10750" s="3" t="inlineStr">
        <is>
          <t>전</t>
        </is>
      </c>
      <c r="J10750" s="3" t="inlineStr">
        <is>
          <t>전의면</t>
        </is>
      </c>
    </row>
    <row r="10751">
      <c r="A10751" s="3" t="n">
        <v>2024</v>
      </c>
      <c r="B10751" s="4" t="n">
        <v>4420</v>
      </c>
      <c r="C10751" s="4" t="n">
        <v>1485</v>
      </c>
      <c r="D10751" s="4" t="n">
        <v>449.2125</v>
      </c>
      <c r="E10751" s="5" t="n">
        <v>9.800000000000001</v>
      </c>
      <c r="F10751" s="3" t="inlineStr">
        <is>
          <t>유구읍</t>
        </is>
      </c>
      <c r="G10751" s="3" t="inlineStr">
        <is>
          <t>추계리</t>
        </is>
      </c>
      <c r="H10751" s="3" t="inlineStr">
        <is>
          <t>보전관리지역</t>
        </is>
      </c>
      <c r="I10751" s="3" t="inlineStr">
        <is>
          <t>도로</t>
        </is>
      </c>
      <c r="J10751" s="3" t="inlineStr">
        <is>
          <t>유구읍</t>
        </is>
      </c>
    </row>
    <row r="10752">
      <c r="A10752" s="3" t="n">
        <v>2024</v>
      </c>
      <c r="B10752" s="4" t="n">
        <v>2410</v>
      </c>
      <c r="C10752" s="4" t="n">
        <v>810</v>
      </c>
      <c r="D10752" s="4" t="n">
        <v>245.025</v>
      </c>
      <c r="E10752" s="5" t="n">
        <v>9.800000000000001</v>
      </c>
      <c r="F10752" s="3" t="inlineStr">
        <is>
          <t>유구읍</t>
        </is>
      </c>
      <c r="G10752" s="3" t="inlineStr">
        <is>
          <t>추계리</t>
        </is>
      </c>
      <c r="H10752" s="3" t="inlineStr">
        <is>
          <t>농림지역</t>
        </is>
      </c>
      <c r="I10752" s="3" t="inlineStr">
        <is>
          <t>임야</t>
        </is>
      </c>
      <c r="J10752" s="3" t="inlineStr">
        <is>
          <t>유구읍</t>
        </is>
      </c>
    </row>
    <row r="10753">
      <c r="A10753" s="3" t="n">
        <v>2024</v>
      </c>
      <c r="B10753" s="4" t="n">
        <v>4670</v>
      </c>
      <c r="C10753" s="4" t="n">
        <v>1570</v>
      </c>
      <c r="D10753" s="4" t="n">
        <v>474.925</v>
      </c>
      <c r="E10753" s="5" t="n">
        <v>9.800000000000001</v>
      </c>
      <c r="F10753" s="3" t="inlineStr">
        <is>
          <t>유구읍</t>
        </is>
      </c>
      <c r="G10753" s="3" t="inlineStr">
        <is>
          <t>추계리</t>
        </is>
      </c>
      <c r="H10753" s="3" t="inlineStr">
        <is>
          <t>보전관리지역</t>
        </is>
      </c>
      <c r="I10753" s="3" t="inlineStr">
        <is>
          <t>대</t>
        </is>
      </c>
      <c r="J10753" s="3" t="inlineStr">
        <is>
          <t>유구읍</t>
        </is>
      </c>
    </row>
    <row r="10754">
      <c r="A10754" s="3" t="n">
        <v>2024</v>
      </c>
      <c r="B10754" s="4" t="n">
        <v>12970</v>
      </c>
      <c r="C10754" s="4" t="n">
        <v>4364</v>
      </c>
      <c r="D10754" s="4" t="n">
        <v>1320.11</v>
      </c>
      <c r="E10754" s="5" t="n">
        <v>9.800000000000001</v>
      </c>
      <c r="F10754" s="3" t="inlineStr">
        <is>
          <t>유구읍</t>
        </is>
      </c>
      <c r="G10754" s="3" t="inlineStr">
        <is>
          <t>추계리</t>
        </is>
      </c>
      <c r="H10754" s="3" t="inlineStr">
        <is>
          <t>보전관리지역</t>
        </is>
      </c>
      <c r="I10754" s="3" t="inlineStr">
        <is>
          <t>임야</t>
        </is>
      </c>
      <c r="J10754" s="3" t="inlineStr">
        <is>
          <t>유구읍</t>
        </is>
      </c>
    </row>
    <row r="10755">
      <c r="A10755" s="3" t="n">
        <v>2024</v>
      </c>
      <c r="B10755" s="4" t="n">
        <v>11350</v>
      </c>
      <c r="C10755" s="4" t="n">
        <v>3829</v>
      </c>
      <c r="D10755" s="4" t="n">
        <v>1158.2725</v>
      </c>
      <c r="E10755" s="5" t="n">
        <v>9.800000000000001</v>
      </c>
      <c r="F10755" s="3" t="inlineStr">
        <is>
          <t>유구읍</t>
        </is>
      </c>
      <c r="G10755" s="3" t="inlineStr">
        <is>
          <t>추계리</t>
        </is>
      </c>
      <c r="H10755" s="3" t="inlineStr">
        <is>
          <t>농림지역</t>
        </is>
      </c>
      <c r="I10755" s="3" t="inlineStr">
        <is>
          <t>임야</t>
        </is>
      </c>
      <c r="J10755" s="3" t="inlineStr">
        <is>
          <t>유구읍</t>
        </is>
      </c>
    </row>
    <row r="10756">
      <c r="A10756" s="3" t="n">
        <v>2024</v>
      </c>
      <c r="B10756" s="4" t="n">
        <v>29470</v>
      </c>
      <c r="C10756" s="4" t="n">
        <v>9917</v>
      </c>
      <c r="D10756" s="4" t="n">
        <v>2999.8925</v>
      </c>
      <c r="E10756" s="5" t="n">
        <v>9.800000000000001</v>
      </c>
      <c r="F10756" s="3" t="inlineStr">
        <is>
          <t>유구읍</t>
        </is>
      </c>
      <c r="G10756" s="3" t="inlineStr">
        <is>
          <t>추계리</t>
        </is>
      </c>
      <c r="H10756" s="3" t="inlineStr">
        <is>
          <t>보전관리지역</t>
        </is>
      </c>
      <c r="I10756" s="3" t="inlineStr">
        <is>
          <t>임야</t>
        </is>
      </c>
      <c r="J10756" s="3" t="inlineStr">
        <is>
          <t>유구읍</t>
        </is>
      </c>
    </row>
    <row r="10757">
      <c r="A10757" s="3" t="n">
        <v>2024</v>
      </c>
      <c r="B10757" s="4" t="n">
        <v>7920</v>
      </c>
      <c r="C10757" s="4" t="n">
        <v>725</v>
      </c>
      <c r="D10757" s="4" t="n">
        <v>219.3125</v>
      </c>
      <c r="E10757" s="5" t="n">
        <v>36.1</v>
      </c>
      <c r="F10757" s="3" t="inlineStr">
        <is>
          <t>유구읍</t>
        </is>
      </c>
      <c r="G10757" s="3" t="inlineStr">
        <is>
          <t>명곡리</t>
        </is>
      </c>
      <c r="H10757" s="3" t="inlineStr">
        <is>
          <t>계획관리지역</t>
        </is>
      </c>
      <c r="I10757" s="3" t="inlineStr">
        <is>
          <t>답</t>
        </is>
      </c>
      <c r="J10757" s="3" t="inlineStr">
        <is>
          <t>유구읍</t>
        </is>
      </c>
    </row>
    <row r="10758">
      <c r="A10758" s="3" t="n">
        <v>2024</v>
      </c>
      <c r="B10758" s="4" t="n">
        <v>4250</v>
      </c>
      <c r="C10758" s="4" t="n">
        <v>468</v>
      </c>
      <c r="D10758" s="4" t="n">
        <v>141.57</v>
      </c>
      <c r="E10758" s="5" t="n">
        <v>30</v>
      </c>
      <c r="F10758" s="3" t="inlineStr">
        <is>
          <t>유구읍</t>
        </is>
      </c>
      <c r="G10758" s="3" t="inlineStr">
        <is>
          <t>명곡리</t>
        </is>
      </c>
      <c r="H10758" s="3" t="inlineStr">
        <is>
          <t>계획관리지역</t>
        </is>
      </c>
      <c r="I10758" s="3" t="inlineStr">
        <is>
          <t>전</t>
        </is>
      </c>
      <c r="J10758" s="3" t="inlineStr">
        <is>
          <t>유구읍</t>
        </is>
      </c>
    </row>
    <row r="10759">
      <c r="A10759" s="3" t="n">
        <v>2022</v>
      </c>
      <c r="B10759" s="4" t="n">
        <v>371564</v>
      </c>
      <c r="C10759" s="4" t="n">
        <v>7677</v>
      </c>
      <c r="D10759" s="4" t="n">
        <v>2322.2925</v>
      </c>
      <c r="E10759" s="5" t="n">
        <v>160</v>
      </c>
      <c r="F10759" s="3" t="inlineStr">
        <is>
          <t>부강면</t>
        </is>
      </c>
      <c r="G10759" s="3" t="inlineStr">
        <is>
          <t>갈산리</t>
        </is>
      </c>
      <c r="H10759" s="3" t="inlineStr">
        <is>
          <t>계획관리지역</t>
        </is>
      </c>
      <c r="I10759" s="3" t="inlineStr">
        <is>
          <t>공장용지</t>
        </is>
      </c>
      <c r="J10759" s="3" t="inlineStr">
        <is>
          <t>부강면</t>
        </is>
      </c>
    </row>
    <row r="10760">
      <c r="A10760" s="3" t="n">
        <v>2022</v>
      </c>
      <c r="B10760" s="4" t="n">
        <v>22554</v>
      </c>
      <c r="C10760" s="4" t="n">
        <v>466</v>
      </c>
      <c r="D10760" s="4" t="n">
        <v>140.965</v>
      </c>
      <c r="E10760" s="5" t="n">
        <v>160</v>
      </c>
      <c r="F10760" s="3" t="inlineStr">
        <is>
          <t>부강면</t>
        </is>
      </c>
      <c r="G10760" s="3" t="inlineStr">
        <is>
          <t>갈산리</t>
        </is>
      </c>
      <c r="H10760" s="3" t="inlineStr">
        <is>
          <t>계획관리지역</t>
        </is>
      </c>
      <c r="I10760" s="3" t="inlineStr">
        <is>
          <t>공장용지</t>
        </is>
      </c>
      <c r="J10760" s="3" t="inlineStr">
        <is>
          <t>부강면</t>
        </is>
      </c>
    </row>
    <row r="10761">
      <c r="A10761" s="3" t="n">
        <v>2022</v>
      </c>
      <c r="B10761" s="4" t="n">
        <v>9000</v>
      </c>
      <c r="C10761" s="4" t="n">
        <v>327</v>
      </c>
      <c r="D10761" s="4" t="n">
        <v>98.9175</v>
      </c>
      <c r="E10761" s="5" t="n">
        <v>91</v>
      </c>
      <c r="F10761" s="3" t="inlineStr">
        <is>
          <t>연동면</t>
        </is>
      </c>
      <c r="G10761" s="3" t="inlineStr">
        <is>
          <t>내판리</t>
        </is>
      </c>
      <c r="H10761" s="3" t="inlineStr">
        <is>
          <t>보전관리지역</t>
        </is>
      </c>
      <c r="I10761" s="3" t="inlineStr">
        <is>
          <t>전</t>
        </is>
      </c>
      <c r="J10761" s="3" t="inlineStr">
        <is>
          <t>연동면</t>
        </is>
      </c>
    </row>
    <row r="10762">
      <c r="A10762" s="3" t="n">
        <v>2022</v>
      </c>
      <c r="B10762" s="4" t="n">
        <v>320020</v>
      </c>
      <c r="C10762" s="4" t="n">
        <v>6612</v>
      </c>
      <c r="D10762" s="4" t="n">
        <v>2000.13</v>
      </c>
      <c r="E10762" s="5" t="n">
        <v>160</v>
      </c>
      <c r="F10762" s="3" t="inlineStr">
        <is>
          <t>전동면</t>
        </is>
      </c>
      <c r="G10762" s="3" t="inlineStr">
        <is>
          <t>심중리</t>
        </is>
      </c>
      <c r="H10762" s="3" t="inlineStr">
        <is>
          <t>준공업지역</t>
        </is>
      </c>
      <c r="I10762" s="3" t="inlineStr">
        <is>
          <t>전</t>
        </is>
      </c>
      <c r="J10762" s="3" t="inlineStr">
        <is>
          <t>전동면</t>
        </is>
      </c>
    </row>
    <row r="10763">
      <c r="A10763" s="3" t="n">
        <v>2022</v>
      </c>
      <c r="B10763" s="4" t="n">
        <v>6500</v>
      </c>
      <c r="C10763" s="4" t="n">
        <v>2056</v>
      </c>
      <c r="D10763" s="4" t="n">
        <v>621.9399999999999</v>
      </c>
      <c r="E10763" s="5" t="n">
        <v>10.5</v>
      </c>
      <c r="F10763" s="3" t="inlineStr">
        <is>
          <t>전의면</t>
        </is>
      </c>
      <c r="G10763" s="3" t="inlineStr">
        <is>
          <t>신정리</t>
        </is>
      </c>
      <c r="H10763" s="3" t="inlineStr">
        <is>
          <t>농림지역</t>
        </is>
      </c>
      <c r="I10763" s="3" t="inlineStr">
        <is>
          <t>답</t>
        </is>
      </c>
      <c r="J10763" s="3" t="inlineStr">
        <is>
          <t>전의면</t>
        </is>
      </c>
    </row>
    <row r="10764">
      <c r="A10764" s="3" t="n">
        <v>2022</v>
      </c>
      <c r="B10764" s="4" t="n">
        <v>118000</v>
      </c>
      <c r="C10764" s="4" t="n">
        <v>1564</v>
      </c>
      <c r="D10764" s="4" t="n">
        <v>473.11</v>
      </c>
      <c r="E10764" s="5" t="n">
        <v>249.4</v>
      </c>
      <c r="F10764" s="3" t="inlineStr">
        <is>
          <t>연동면</t>
        </is>
      </c>
      <c r="G10764" s="3" t="inlineStr">
        <is>
          <t>명학리</t>
        </is>
      </c>
      <c r="H10764" s="3" t="inlineStr">
        <is>
          <t>농림지역</t>
        </is>
      </c>
      <c r="I10764" s="3" t="inlineStr">
        <is>
          <t>전</t>
        </is>
      </c>
      <c r="J10764" s="3" t="inlineStr">
        <is>
          <t>연동면</t>
        </is>
      </c>
    </row>
    <row r="10765">
      <c r="A10765" s="3" t="n">
        <v>2022</v>
      </c>
      <c r="B10765" s="4" t="n">
        <v>27500</v>
      </c>
      <c r="C10765" s="4" t="n">
        <v>961</v>
      </c>
      <c r="D10765" s="4" t="n">
        <v>290.7025</v>
      </c>
      <c r="E10765" s="5" t="n">
        <v>94.59999999999999</v>
      </c>
      <c r="F10765" s="3" t="inlineStr">
        <is>
          <t>금남면</t>
        </is>
      </c>
      <c r="G10765" s="3" t="inlineStr">
        <is>
          <t>영곡리</t>
        </is>
      </c>
      <c r="H10765" s="3" t="inlineStr">
        <is>
          <t>보전관리지역</t>
        </is>
      </c>
      <c r="I10765" s="3" t="inlineStr">
        <is>
          <t>임야</t>
        </is>
      </c>
      <c r="J10765" s="3" t="inlineStr">
        <is>
          <t>금남면</t>
        </is>
      </c>
    </row>
    <row r="10766">
      <c r="A10766" s="3" t="n">
        <v>2022</v>
      </c>
      <c r="B10766" s="4" t="n">
        <v>7375</v>
      </c>
      <c r="C10766" s="4" t="n">
        <v>952</v>
      </c>
      <c r="D10766" s="4" t="n">
        <v>287.98</v>
      </c>
      <c r="E10766" s="5" t="n">
        <v>25.6</v>
      </c>
      <c r="F10766" s="3" t="inlineStr">
        <is>
          <t>유구읍</t>
        </is>
      </c>
      <c r="G10766" s="3" t="inlineStr">
        <is>
          <t>석남리</t>
        </is>
      </c>
      <c r="H10766" s="3" t="inlineStr">
        <is>
          <t>제2종일반주거지역</t>
        </is>
      </c>
      <c r="I10766" s="3" t="inlineStr">
        <is>
          <t>답</t>
        </is>
      </c>
      <c r="J10766" s="3" t="inlineStr">
        <is>
          <t>유구읍</t>
        </is>
      </c>
    </row>
    <row r="10767">
      <c r="A10767" s="3" t="n">
        <v>2022</v>
      </c>
      <c r="B10767" s="4" t="n">
        <v>12200</v>
      </c>
      <c r="C10767" s="4" t="n">
        <v>3115</v>
      </c>
      <c r="D10767" s="4" t="n">
        <v>942.2875</v>
      </c>
      <c r="E10767" s="5" t="n">
        <v>12.9</v>
      </c>
      <c r="F10767" s="3" t="inlineStr">
        <is>
          <t>유구읍</t>
        </is>
      </c>
      <c r="G10767" s="3" t="inlineStr">
        <is>
          <t>신달리</t>
        </is>
      </c>
      <c r="H10767" s="3" t="inlineStr">
        <is>
          <t>농림지역</t>
        </is>
      </c>
      <c r="I10767" s="3" t="inlineStr">
        <is>
          <t>답</t>
        </is>
      </c>
      <c r="J10767" s="3" t="inlineStr">
        <is>
          <t>유구읍</t>
        </is>
      </c>
    </row>
    <row r="10768">
      <c r="A10768" s="3" t="n">
        <v>2022</v>
      </c>
      <c r="B10768" s="4" t="n">
        <v>8275</v>
      </c>
      <c r="C10768" s="4" t="n">
        <v>1094</v>
      </c>
      <c r="D10768" s="4" t="n">
        <v>330.935</v>
      </c>
      <c r="E10768" s="5" t="n">
        <v>25</v>
      </c>
      <c r="F10768" s="3" t="inlineStr">
        <is>
          <t>유구읍</t>
        </is>
      </c>
      <c r="G10768" s="3" t="inlineStr">
        <is>
          <t>신영리</t>
        </is>
      </c>
      <c r="H10768" s="3" t="inlineStr">
        <is>
          <t>계획관리지역</t>
        </is>
      </c>
      <c r="I10768" s="3" t="inlineStr">
        <is>
          <t>전</t>
        </is>
      </c>
      <c r="J10768" s="3" t="inlineStr">
        <is>
          <t>유구읍</t>
        </is>
      </c>
    </row>
    <row r="10769">
      <c r="A10769" s="3" t="n">
        <v>2023</v>
      </c>
      <c r="B10769" s="4" t="n">
        <v>720</v>
      </c>
      <c r="C10769" s="4" t="n">
        <v>99</v>
      </c>
      <c r="D10769" s="4" t="n">
        <v>29.9475</v>
      </c>
      <c r="E10769" s="5" t="n">
        <v>24</v>
      </c>
      <c r="F10769" s="3" t="inlineStr">
        <is>
          <t>유구읍</t>
        </is>
      </c>
      <c r="G10769" s="3" t="inlineStr">
        <is>
          <t>문금리</t>
        </is>
      </c>
      <c r="H10769" s="3" t="inlineStr">
        <is>
          <t>계획관리지역</t>
        </is>
      </c>
      <c r="I10769" s="3" t="inlineStr">
        <is>
          <t>답</t>
        </is>
      </c>
      <c r="J10769" s="3" t="inlineStr">
        <is>
          <t>유구읍</t>
        </is>
      </c>
    </row>
    <row r="10770">
      <c r="A10770" s="3" t="n">
        <v>2026</v>
      </c>
      <c r="B10770" s="4" t="n">
        <v>2500</v>
      </c>
      <c r="C10770" s="4" t="n">
        <v>69</v>
      </c>
      <c r="D10770" s="4" t="n">
        <v>20.8725</v>
      </c>
      <c r="E10770" s="5" t="n">
        <v>119.8</v>
      </c>
      <c r="F10770" s="3" t="inlineStr">
        <is>
          <t>장군면</t>
        </is>
      </c>
      <c r="G10770" s="3" t="inlineStr">
        <is>
          <t>태산리</t>
        </is>
      </c>
      <c r="H10770" s="3" t="inlineStr">
        <is>
          <t>계획관리지역</t>
        </is>
      </c>
      <c r="I10770" s="3" t="inlineStr">
        <is>
          <t>대</t>
        </is>
      </c>
      <c r="J10770" s="3" t="inlineStr">
        <is>
          <t>장군면</t>
        </is>
      </c>
    </row>
    <row r="10771">
      <c r="A10771" s="3" t="n">
        <v>2026</v>
      </c>
      <c r="B10771" s="4" t="n">
        <v>4600</v>
      </c>
      <c r="C10771" s="4" t="n">
        <v>127</v>
      </c>
      <c r="D10771" s="4" t="n">
        <v>38.4175</v>
      </c>
      <c r="E10771" s="5" t="n">
        <v>119.7</v>
      </c>
      <c r="F10771" s="3" t="inlineStr">
        <is>
          <t>장군면</t>
        </is>
      </c>
      <c r="G10771" s="3" t="inlineStr">
        <is>
          <t>태산리</t>
        </is>
      </c>
      <c r="H10771" s="3" t="inlineStr">
        <is>
          <t>계획관리지역</t>
        </is>
      </c>
      <c r="I10771" s="3" t="inlineStr">
        <is>
          <t>대</t>
        </is>
      </c>
      <c r="J10771" s="3" t="inlineStr">
        <is>
          <t>장군면</t>
        </is>
      </c>
    </row>
    <row r="10772">
      <c r="A10772" s="3" t="n">
        <v>2026</v>
      </c>
      <c r="B10772" s="4" t="n">
        <v>560</v>
      </c>
      <c r="C10772" s="4" t="n">
        <v>14</v>
      </c>
      <c r="D10772" s="4" t="n">
        <v>4.234999999999999</v>
      </c>
      <c r="E10772" s="5" t="n">
        <v>132.2</v>
      </c>
      <c r="F10772" s="3" t="inlineStr">
        <is>
          <t>연기면</t>
        </is>
      </c>
      <c r="G10772" s="3" t="inlineStr">
        <is>
          <t>연기리</t>
        </is>
      </c>
      <c r="H10772" s="3" t="inlineStr">
        <is>
          <t>계획관리지역</t>
        </is>
      </c>
      <c r="I10772" s="3" t="inlineStr">
        <is>
          <t>도로</t>
        </is>
      </c>
      <c r="J10772" s="3" t="inlineStr">
        <is>
          <t>연기면</t>
        </is>
      </c>
    </row>
    <row r="10773">
      <c r="A10773" s="3" t="n">
        <v>2026</v>
      </c>
      <c r="B10773" s="4" t="n">
        <v>2157</v>
      </c>
      <c r="C10773" s="4" t="n">
        <v>13</v>
      </c>
      <c r="D10773" s="4" t="n">
        <v>3.9325</v>
      </c>
      <c r="E10773" s="5" t="n">
        <v>548.5</v>
      </c>
      <c r="F10773" s="3" t="inlineStr">
        <is>
          <t>연기면</t>
        </is>
      </c>
      <c r="G10773" s="3" t="inlineStr">
        <is>
          <t>연기리</t>
        </is>
      </c>
      <c r="H10773" s="3" t="inlineStr">
        <is>
          <t>계획관리지역</t>
        </is>
      </c>
      <c r="I10773" s="3" t="inlineStr">
        <is>
          <t>대</t>
        </is>
      </c>
      <c r="J10773" s="3" t="inlineStr">
        <is>
          <t>연기면</t>
        </is>
      </c>
    </row>
    <row r="10774">
      <c r="A10774" s="3" t="n">
        <v>2022</v>
      </c>
      <c r="B10774" s="4" t="n">
        <v>6998</v>
      </c>
      <c r="C10774" s="4" t="n">
        <v>68</v>
      </c>
      <c r="D10774" s="4" t="n">
        <v>20.57</v>
      </c>
      <c r="E10774" s="5" t="n">
        <v>340.2</v>
      </c>
      <c r="F10774" s="3" t="inlineStr">
        <is>
          <t>금남면</t>
        </is>
      </c>
      <c r="G10774" s="3" t="inlineStr">
        <is>
          <t>부용리</t>
        </is>
      </c>
      <c r="H10774" s="3" t="inlineStr">
        <is>
          <t>계획관리지역</t>
        </is>
      </c>
      <c r="I10774" s="3" t="inlineStr">
        <is>
          <t>전</t>
        </is>
      </c>
      <c r="J10774" s="3" t="inlineStr">
        <is>
          <t>금남면</t>
        </is>
      </c>
    </row>
    <row r="10775">
      <c r="A10775" s="3" t="n">
        <v>2022</v>
      </c>
      <c r="B10775" s="4" t="n">
        <v>22026</v>
      </c>
      <c r="C10775" s="4" t="n">
        <v>214</v>
      </c>
      <c r="D10775" s="4" t="n">
        <v>64.735</v>
      </c>
      <c r="E10775" s="5" t="n">
        <v>340.2</v>
      </c>
      <c r="F10775" s="3" t="inlineStr">
        <is>
          <t>금남면</t>
        </is>
      </c>
      <c r="G10775" s="3" t="inlineStr">
        <is>
          <t>부용리</t>
        </is>
      </c>
      <c r="H10775" s="3" t="inlineStr">
        <is>
          <t>계획관리지역</t>
        </is>
      </c>
      <c r="I10775" s="3" t="inlineStr">
        <is>
          <t>대</t>
        </is>
      </c>
      <c r="J10775" s="3" t="inlineStr">
        <is>
          <t>금남면</t>
        </is>
      </c>
    </row>
    <row r="10776">
      <c r="A10776" s="3" t="n">
        <v>2022</v>
      </c>
      <c r="B10776" s="4" t="n">
        <v>137917</v>
      </c>
      <c r="C10776" s="4" t="n">
        <v>1340</v>
      </c>
      <c r="D10776" s="4" t="n">
        <v>405.35</v>
      </c>
      <c r="E10776" s="5" t="n">
        <v>340.2</v>
      </c>
      <c r="F10776" s="3" t="inlineStr">
        <is>
          <t>금남면</t>
        </is>
      </c>
      <c r="G10776" s="3" t="inlineStr">
        <is>
          <t>부용리</t>
        </is>
      </c>
      <c r="H10776" s="3" t="inlineStr">
        <is>
          <t>계획관리지역</t>
        </is>
      </c>
      <c r="I10776" s="3" t="inlineStr">
        <is>
          <t>대</t>
        </is>
      </c>
      <c r="J10776" s="3" t="inlineStr">
        <is>
          <t>금남면</t>
        </is>
      </c>
    </row>
    <row r="10777">
      <c r="A10777" s="3" t="n">
        <v>2022</v>
      </c>
      <c r="B10777" s="4" t="n">
        <v>26400</v>
      </c>
      <c r="C10777" s="4" t="n">
        <v>793</v>
      </c>
      <c r="D10777" s="4" t="n">
        <v>239.8825</v>
      </c>
      <c r="E10777" s="5" t="n">
        <v>110.1</v>
      </c>
      <c r="F10777" s="3" t="inlineStr">
        <is>
          <t>장군면</t>
        </is>
      </c>
      <c r="G10777" s="3" t="inlineStr">
        <is>
          <t>평기리</t>
        </is>
      </c>
      <c r="H10777" s="3" t="inlineStr">
        <is>
          <t>보전관리지역</t>
        </is>
      </c>
      <c r="I10777" s="3" t="inlineStr">
        <is>
          <t>임야</t>
        </is>
      </c>
      <c r="J10777" s="3" t="inlineStr">
        <is>
          <t>장군면</t>
        </is>
      </c>
    </row>
    <row r="10778">
      <c r="A10778" s="3" t="n">
        <v>2022</v>
      </c>
      <c r="B10778" s="4" t="n">
        <v>49000</v>
      </c>
      <c r="C10778" s="4" t="n">
        <v>1501</v>
      </c>
      <c r="D10778" s="4" t="n">
        <v>454.0525</v>
      </c>
      <c r="E10778" s="5" t="n">
        <v>107.9</v>
      </c>
      <c r="F10778" s="3" t="inlineStr">
        <is>
          <t>연동면</t>
        </is>
      </c>
      <c r="G10778" s="3" t="inlineStr">
        <is>
          <t>송용리</t>
        </is>
      </c>
      <c r="H10778" s="3" t="inlineStr">
        <is>
          <t>보전관리지역</t>
        </is>
      </c>
      <c r="I10778" s="3" t="inlineStr">
        <is>
          <t>대</t>
        </is>
      </c>
      <c r="J10778" s="3" t="inlineStr">
        <is>
          <t>연동면</t>
        </is>
      </c>
    </row>
    <row r="10779">
      <c r="A10779" s="3" t="n">
        <v>2022</v>
      </c>
      <c r="B10779" s="4" t="n">
        <v>29500</v>
      </c>
      <c r="C10779" s="4" t="n">
        <v>842.5</v>
      </c>
      <c r="D10779" s="4" t="n">
        <v>254.85625</v>
      </c>
      <c r="E10779" s="5" t="n">
        <v>115.8</v>
      </c>
      <c r="F10779" s="3" t="inlineStr">
        <is>
          <t>연서면</t>
        </is>
      </c>
      <c r="G10779" s="3" t="inlineStr">
        <is>
          <t>봉암리</t>
        </is>
      </c>
      <c r="H10779" s="3" t="inlineStr">
        <is>
          <t>농림지역</t>
        </is>
      </c>
      <c r="I10779" s="3" t="inlineStr">
        <is>
          <t>전</t>
        </is>
      </c>
      <c r="J10779" s="3" t="inlineStr">
        <is>
          <t>연서면</t>
        </is>
      </c>
    </row>
    <row r="10780">
      <c r="A10780" s="3" t="n">
        <v>2022</v>
      </c>
      <c r="B10780" s="4" t="n">
        <v>49086</v>
      </c>
      <c r="C10780" s="4" t="n">
        <v>506</v>
      </c>
      <c r="D10780" s="4" t="n">
        <v>153.065</v>
      </c>
      <c r="E10780" s="5" t="n">
        <v>320.7</v>
      </c>
      <c r="F10780" s="3" t="inlineStr">
        <is>
          <t>장군면</t>
        </is>
      </c>
      <c r="G10780" s="3" t="inlineStr">
        <is>
          <t>금암리</t>
        </is>
      </c>
      <c r="H10780" s="3" t="inlineStr">
        <is>
          <t>계획관리지역</t>
        </is>
      </c>
      <c r="I10780" s="3" t="inlineStr">
        <is>
          <t>대</t>
        </is>
      </c>
      <c r="J10780" s="3" t="inlineStr">
        <is>
          <t>장군면</t>
        </is>
      </c>
    </row>
    <row r="10781">
      <c r="A10781" s="3" t="n">
        <v>2022</v>
      </c>
      <c r="B10781" s="4" t="n">
        <v>5000</v>
      </c>
      <c r="C10781" s="4" t="n">
        <v>1653</v>
      </c>
      <c r="D10781" s="4" t="n">
        <v>500.0325</v>
      </c>
      <c r="E10781" s="5" t="n">
        <v>10</v>
      </c>
      <c r="F10781" s="3" t="inlineStr">
        <is>
          <t>전의면</t>
        </is>
      </c>
      <c r="G10781" s="3" t="inlineStr">
        <is>
          <t>달전리</t>
        </is>
      </c>
      <c r="H10781" s="3" t="inlineStr">
        <is>
          <t>농림지역</t>
        </is>
      </c>
      <c r="I10781" s="3" t="inlineStr">
        <is>
          <t>임야</t>
        </is>
      </c>
      <c r="J10781" s="3" t="inlineStr">
        <is>
          <t>전의면</t>
        </is>
      </c>
    </row>
    <row r="10782">
      <c r="A10782" s="3" t="n">
        <v>2022</v>
      </c>
      <c r="B10782" s="4" t="n">
        <v>10001</v>
      </c>
      <c r="C10782" s="4" t="n">
        <v>3306</v>
      </c>
      <c r="D10782" s="4" t="n">
        <v>1000.065</v>
      </c>
      <c r="E10782" s="5" t="n">
        <v>10</v>
      </c>
      <c r="F10782" s="3" t="inlineStr">
        <is>
          <t>전의면</t>
        </is>
      </c>
      <c r="G10782" s="3" t="inlineStr">
        <is>
          <t>달전리</t>
        </is>
      </c>
      <c r="H10782" s="3" t="inlineStr">
        <is>
          <t>농림지역</t>
        </is>
      </c>
      <c r="I10782" s="3" t="inlineStr">
        <is>
          <t>임야</t>
        </is>
      </c>
      <c r="J10782" s="3" t="inlineStr">
        <is>
          <t>전의면</t>
        </is>
      </c>
    </row>
    <row r="10783">
      <c r="A10783" s="3" t="n">
        <v>2022</v>
      </c>
      <c r="B10783" s="4" t="n">
        <v>10001</v>
      </c>
      <c r="C10783" s="4" t="n">
        <v>3306</v>
      </c>
      <c r="D10783" s="4" t="n">
        <v>1000.065</v>
      </c>
      <c r="E10783" s="5" t="n">
        <v>10</v>
      </c>
      <c r="F10783" s="3" t="inlineStr">
        <is>
          <t>전의면</t>
        </is>
      </c>
      <c r="G10783" s="3" t="inlineStr">
        <is>
          <t>달전리</t>
        </is>
      </c>
      <c r="H10783" s="3" t="inlineStr">
        <is>
          <t>농림지역</t>
        </is>
      </c>
      <c r="I10783" s="3" t="inlineStr">
        <is>
          <t>임야</t>
        </is>
      </c>
      <c r="J10783" s="3" t="inlineStr">
        <is>
          <t>전의면</t>
        </is>
      </c>
    </row>
    <row r="10784">
      <c r="A10784" s="3" t="n">
        <v>2022</v>
      </c>
      <c r="B10784" s="4" t="n">
        <v>13001</v>
      </c>
      <c r="C10784" s="4" t="n">
        <v>4298</v>
      </c>
      <c r="D10784" s="4" t="n">
        <v>1300.145</v>
      </c>
      <c r="E10784" s="5" t="n">
        <v>10</v>
      </c>
      <c r="F10784" s="3" t="inlineStr">
        <is>
          <t>전의면</t>
        </is>
      </c>
      <c r="G10784" s="3" t="inlineStr">
        <is>
          <t>달전리</t>
        </is>
      </c>
      <c r="H10784" s="3" t="inlineStr">
        <is>
          <t>농림지역</t>
        </is>
      </c>
      <c r="I10784" s="3" t="inlineStr">
        <is>
          <t>임야</t>
        </is>
      </c>
      <c r="J10784" s="3" t="inlineStr">
        <is>
          <t>전의면</t>
        </is>
      </c>
    </row>
    <row r="10785">
      <c r="A10785" s="3" t="n">
        <v>2022</v>
      </c>
      <c r="B10785" s="4" t="n">
        <v>20797</v>
      </c>
      <c r="C10785" s="4" t="n">
        <v>6875</v>
      </c>
      <c r="D10785" s="4" t="n">
        <v>2079.6875</v>
      </c>
      <c r="E10785" s="5" t="n">
        <v>10</v>
      </c>
      <c r="F10785" s="3" t="inlineStr">
        <is>
          <t>전의면</t>
        </is>
      </c>
      <c r="G10785" s="3" t="inlineStr">
        <is>
          <t>달전리</t>
        </is>
      </c>
      <c r="H10785" s="3" t="inlineStr">
        <is>
          <t>농림지역</t>
        </is>
      </c>
      <c r="I10785" s="3" t="inlineStr">
        <is>
          <t>임야</t>
        </is>
      </c>
      <c r="J10785" s="3" t="inlineStr">
        <is>
          <t>전의면</t>
        </is>
      </c>
    </row>
    <row r="10786">
      <c r="A10786" s="3" t="n">
        <v>2022</v>
      </c>
      <c r="B10786" s="4" t="n">
        <v>19000</v>
      </c>
      <c r="C10786" s="4" t="n">
        <v>1792</v>
      </c>
      <c r="D10786" s="4" t="n">
        <v>542.0799999999999</v>
      </c>
      <c r="E10786" s="5" t="n">
        <v>35.1</v>
      </c>
      <c r="F10786" s="3" t="inlineStr">
        <is>
          <t>연동면</t>
        </is>
      </c>
      <c r="G10786" s="3" t="inlineStr">
        <is>
          <t>송용리</t>
        </is>
      </c>
      <c r="H10786" s="3" t="inlineStr">
        <is>
          <t>농림지역</t>
        </is>
      </c>
      <c r="I10786" s="3" t="inlineStr">
        <is>
          <t>답</t>
        </is>
      </c>
      <c r="J10786" s="3" t="inlineStr">
        <is>
          <t>연동면</t>
        </is>
      </c>
    </row>
    <row r="10787">
      <c r="A10787" s="3" t="n">
        <v>2022</v>
      </c>
      <c r="B10787" s="4" t="n">
        <v>7300</v>
      </c>
      <c r="C10787" s="4" t="n">
        <v>133</v>
      </c>
      <c r="D10787" s="4" t="n">
        <v>40.2325</v>
      </c>
      <c r="E10787" s="5" t="n">
        <v>181.4</v>
      </c>
      <c r="F10787" s="3" t="inlineStr">
        <is>
          <t>장군면</t>
        </is>
      </c>
      <c r="G10787" s="3" t="inlineStr">
        <is>
          <t>하봉리</t>
        </is>
      </c>
      <c r="H10787" s="3" t="inlineStr">
        <is>
          <t>계획관리지역</t>
        </is>
      </c>
      <c r="I10787" s="3" t="inlineStr">
        <is>
          <t>전</t>
        </is>
      </c>
      <c r="J10787" s="3" t="inlineStr">
        <is>
          <t>장군면</t>
        </is>
      </c>
    </row>
    <row r="10788">
      <c r="A10788" s="3" t="n">
        <v>2022</v>
      </c>
      <c r="B10788" s="4" t="n">
        <v>10700</v>
      </c>
      <c r="C10788" s="4" t="n">
        <v>198</v>
      </c>
      <c r="D10788" s="4" t="n">
        <v>59.895</v>
      </c>
      <c r="E10788" s="5" t="n">
        <v>178.6</v>
      </c>
      <c r="F10788" s="3" t="inlineStr">
        <is>
          <t>장군면</t>
        </is>
      </c>
      <c r="G10788" s="3" t="inlineStr">
        <is>
          <t>하봉리</t>
        </is>
      </c>
      <c r="H10788" s="3" t="inlineStr">
        <is>
          <t>계획관리지역</t>
        </is>
      </c>
      <c r="I10788" s="3" t="inlineStr">
        <is>
          <t>전</t>
        </is>
      </c>
      <c r="J10788" s="3" t="inlineStr">
        <is>
          <t>장군면</t>
        </is>
      </c>
    </row>
    <row r="10789">
      <c r="A10789" s="3" t="n">
        <v>2022</v>
      </c>
      <c r="B10789" s="4" t="n">
        <v>156000</v>
      </c>
      <c r="C10789" s="4" t="n">
        <v>2010</v>
      </c>
      <c r="D10789" s="4" t="n">
        <v>608.025</v>
      </c>
      <c r="E10789" s="5" t="n">
        <v>256.6</v>
      </c>
      <c r="F10789" s="3" t="inlineStr">
        <is>
          <t>장군면</t>
        </is>
      </c>
      <c r="G10789" s="3" t="inlineStr">
        <is>
          <t>하봉리</t>
        </is>
      </c>
      <c r="H10789" s="3" t="inlineStr">
        <is>
          <t>계획관리지역</t>
        </is>
      </c>
      <c r="I10789" s="3" t="inlineStr">
        <is>
          <t>전</t>
        </is>
      </c>
      <c r="J10789" s="3" t="inlineStr">
        <is>
          <t>장군면</t>
        </is>
      </c>
    </row>
    <row r="10790">
      <c r="A10790" s="3" t="n">
        <v>2022</v>
      </c>
      <c r="B10790" s="4" t="n">
        <v>10200</v>
      </c>
      <c r="C10790" s="4" t="n">
        <v>135</v>
      </c>
      <c r="D10790" s="4" t="n">
        <v>40.8375</v>
      </c>
      <c r="E10790" s="5" t="n">
        <v>249.8</v>
      </c>
      <c r="F10790" s="3" t="inlineStr">
        <is>
          <t>장군면</t>
        </is>
      </c>
      <c r="G10790" s="3" t="inlineStr">
        <is>
          <t>하봉리</t>
        </is>
      </c>
      <c r="H10790" s="3" t="inlineStr">
        <is>
          <t>계획관리지역</t>
        </is>
      </c>
      <c r="I10790" s="3" t="inlineStr">
        <is>
          <t>전</t>
        </is>
      </c>
      <c r="J10790" s="3" t="inlineStr">
        <is>
          <t>장군면</t>
        </is>
      </c>
    </row>
    <row r="10791">
      <c r="A10791" s="3" t="n">
        <v>2022</v>
      </c>
      <c r="B10791" s="4" t="n">
        <v>3800</v>
      </c>
      <c r="C10791" s="4" t="n">
        <v>44</v>
      </c>
      <c r="D10791" s="4" t="n">
        <v>13.31</v>
      </c>
      <c r="E10791" s="5" t="n">
        <v>285.5</v>
      </c>
      <c r="F10791" s="3" t="inlineStr">
        <is>
          <t>장군면</t>
        </is>
      </c>
      <c r="G10791" s="3" t="inlineStr">
        <is>
          <t>하봉리</t>
        </is>
      </c>
      <c r="H10791" s="3" t="inlineStr">
        <is>
          <t>계획관리지역</t>
        </is>
      </c>
      <c r="I10791" s="3" t="inlineStr">
        <is>
          <t>전</t>
        </is>
      </c>
      <c r="J10791" s="3" t="inlineStr">
        <is>
          <t>장군면</t>
        </is>
      </c>
    </row>
    <row r="10792">
      <c r="A10792" s="3" t="n">
        <v>2022</v>
      </c>
      <c r="B10792" s="4" t="n">
        <v>1180</v>
      </c>
      <c r="C10792" s="4" t="n">
        <v>260</v>
      </c>
      <c r="D10792" s="4" t="n">
        <v>78.64999999999999</v>
      </c>
      <c r="E10792" s="5" t="n">
        <v>15</v>
      </c>
      <c r="F10792" s="3" t="inlineStr">
        <is>
          <t>전의면</t>
        </is>
      </c>
      <c r="G10792" s="3" t="inlineStr">
        <is>
          <t>서정리</t>
        </is>
      </c>
      <c r="H10792" s="3" t="inlineStr">
        <is>
          <t>계획관리지역</t>
        </is>
      </c>
      <c r="I10792" s="3" t="inlineStr">
        <is>
          <t>임야</t>
        </is>
      </c>
      <c r="J10792" s="3" t="inlineStr">
        <is>
          <t>전의면</t>
        </is>
      </c>
    </row>
    <row r="10793">
      <c r="A10793" s="3" t="n">
        <v>2022</v>
      </c>
      <c r="B10793" s="4" t="n">
        <v>19550</v>
      </c>
      <c r="C10793" s="4" t="n">
        <v>377</v>
      </c>
      <c r="D10793" s="4" t="n">
        <v>114.0425</v>
      </c>
      <c r="E10793" s="5" t="n">
        <v>171.4</v>
      </c>
      <c r="F10793" s="3" t="inlineStr">
        <is>
          <t>연기면</t>
        </is>
      </c>
      <c r="G10793" s="3" t="inlineStr">
        <is>
          <t>눌왕리</t>
        </is>
      </c>
      <c r="H10793" s="3" t="inlineStr">
        <is>
          <t>계획관리지역</t>
        </is>
      </c>
      <c r="I10793" s="3" t="inlineStr">
        <is>
          <t>전</t>
        </is>
      </c>
      <c r="J10793" s="3" t="inlineStr">
        <is>
          <t>연기면</t>
        </is>
      </c>
    </row>
    <row r="10794">
      <c r="A10794" s="3" t="n">
        <v>2022</v>
      </c>
      <c r="B10794" s="4" t="n">
        <v>3180</v>
      </c>
      <c r="C10794" s="4" t="n">
        <v>58</v>
      </c>
      <c r="D10794" s="4" t="n">
        <v>17.545</v>
      </c>
      <c r="E10794" s="5" t="n">
        <v>181.2</v>
      </c>
      <c r="F10794" s="3" t="inlineStr">
        <is>
          <t>연기면</t>
        </is>
      </c>
      <c r="G10794" s="3" t="inlineStr">
        <is>
          <t>눌왕리</t>
        </is>
      </c>
      <c r="H10794" s="3" t="inlineStr">
        <is>
          <t>계획관리지역</t>
        </is>
      </c>
      <c r="I10794" s="3" t="inlineStr">
        <is>
          <t>전</t>
        </is>
      </c>
      <c r="J10794" s="3" t="inlineStr">
        <is>
          <t>연기면</t>
        </is>
      </c>
    </row>
    <row r="10795">
      <c r="A10795" s="3" t="n">
        <v>2022</v>
      </c>
      <c r="B10795" s="4" t="n">
        <v>1000</v>
      </c>
      <c r="C10795" s="4" t="n">
        <v>139</v>
      </c>
      <c r="D10795" s="4" t="n">
        <v>42.0475</v>
      </c>
      <c r="E10795" s="5" t="n">
        <v>23.8</v>
      </c>
      <c r="F10795" s="3" t="inlineStr">
        <is>
          <t>전의면</t>
        </is>
      </c>
      <c r="G10795" s="3" t="inlineStr">
        <is>
          <t>서정리</t>
        </is>
      </c>
      <c r="H10795" s="3" t="inlineStr">
        <is>
          <t>계획관리지역</t>
        </is>
      </c>
      <c r="I10795" s="3" t="inlineStr">
        <is>
          <t>답</t>
        </is>
      </c>
      <c r="J10795" s="3" t="inlineStr">
        <is>
          <t>전의면</t>
        </is>
      </c>
    </row>
    <row r="10796">
      <c r="A10796" s="3" t="n">
        <v>2022</v>
      </c>
      <c r="B10796" s="4" t="n">
        <v>21100</v>
      </c>
      <c r="C10796" s="4" t="n">
        <v>608</v>
      </c>
      <c r="D10796" s="4" t="n">
        <v>183.92</v>
      </c>
      <c r="E10796" s="5" t="n">
        <v>114.7</v>
      </c>
      <c r="F10796" s="3" t="inlineStr">
        <is>
          <t>전동면</t>
        </is>
      </c>
      <c r="G10796" s="3" t="inlineStr">
        <is>
          <t>석곡리</t>
        </is>
      </c>
      <c r="H10796" s="3" t="inlineStr">
        <is>
          <t>생산관리지역</t>
        </is>
      </c>
      <c r="I10796" s="3" t="inlineStr">
        <is>
          <t>답</t>
        </is>
      </c>
      <c r="J10796" s="3" t="inlineStr">
        <is>
          <t>전동면</t>
        </is>
      </c>
    </row>
    <row r="10797">
      <c r="A10797" s="3" t="n">
        <v>2022</v>
      </c>
      <c r="B10797" s="4" t="n">
        <v>30800</v>
      </c>
      <c r="C10797" s="4" t="n">
        <v>818</v>
      </c>
      <c r="D10797" s="4" t="n">
        <v>247.445</v>
      </c>
      <c r="E10797" s="5" t="n">
        <v>124.5</v>
      </c>
      <c r="F10797" s="3" t="inlineStr">
        <is>
          <t>전동면</t>
        </is>
      </c>
      <c r="G10797" s="3" t="inlineStr">
        <is>
          <t>석곡리</t>
        </is>
      </c>
      <c r="H10797" s="3" t="inlineStr">
        <is>
          <t>생산관리지역</t>
        </is>
      </c>
      <c r="I10797" s="3" t="inlineStr">
        <is>
          <t>답</t>
        </is>
      </c>
      <c r="J10797" s="3" t="inlineStr">
        <is>
          <t>전동면</t>
        </is>
      </c>
    </row>
    <row r="10798">
      <c r="A10798" s="3" t="n">
        <v>2022</v>
      </c>
      <c r="B10798" s="4" t="n">
        <v>2000</v>
      </c>
      <c r="C10798" s="4" t="n">
        <v>53</v>
      </c>
      <c r="D10798" s="4" t="n">
        <v>16.0325</v>
      </c>
      <c r="E10798" s="5" t="n">
        <v>124.7</v>
      </c>
      <c r="F10798" s="3" t="inlineStr">
        <is>
          <t>전동면</t>
        </is>
      </c>
      <c r="G10798" s="3" t="inlineStr">
        <is>
          <t>석곡리</t>
        </is>
      </c>
      <c r="H10798" s="3" t="inlineStr">
        <is>
          <t>생산관리지역</t>
        </is>
      </c>
      <c r="I10798" s="3" t="inlineStr">
        <is>
          <t>답</t>
        </is>
      </c>
      <c r="J10798" s="3" t="inlineStr">
        <is>
          <t>전동면</t>
        </is>
      </c>
    </row>
    <row r="10799">
      <c r="A10799" s="3" t="n">
        <v>2022</v>
      </c>
      <c r="B10799" s="4" t="n">
        <v>80</v>
      </c>
      <c r="C10799" s="4" t="n">
        <v>2</v>
      </c>
      <c r="D10799" s="4" t="n">
        <v>0.605</v>
      </c>
      <c r="E10799" s="5" t="n">
        <v>132.2</v>
      </c>
      <c r="F10799" s="3" t="inlineStr">
        <is>
          <t>전동면</t>
        </is>
      </c>
      <c r="G10799" s="3" t="inlineStr">
        <is>
          <t>석곡리</t>
        </is>
      </c>
      <c r="H10799" s="3" t="inlineStr">
        <is>
          <t>생산관리지역</t>
        </is>
      </c>
      <c r="I10799" s="3" t="inlineStr">
        <is>
          <t>답</t>
        </is>
      </c>
      <c r="J10799" s="3" t="inlineStr">
        <is>
          <t>전동면</t>
        </is>
      </c>
    </row>
    <row r="10800">
      <c r="A10800" s="3" t="n">
        <v>2022</v>
      </c>
      <c r="B10800" s="4" t="n">
        <v>6980</v>
      </c>
      <c r="C10800" s="4" t="n">
        <v>200</v>
      </c>
      <c r="D10800" s="4" t="n">
        <v>60.5</v>
      </c>
      <c r="E10800" s="5" t="n">
        <v>115.4</v>
      </c>
      <c r="F10800" s="3" t="inlineStr">
        <is>
          <t>전동면</t>
        </is>
      </c>
      <c r="G10800" s="3" t="inlineStr">
        <is>
          <t>석곡리</t>
        </is>
      </c>
      <c r="H10800" s="3" t="inlineStr">
        <is>
          <t>생산관리지역</t>
        </is>
      </c>
      <c r="I10800" s="3" t="inlineStr">
        <is>
          <t>답</t>
        </is>
      </c>
      <c r="J10800" s="3" t="inlineStr">
        <is>
          <t>전동면</t>
        </is>
      </c>
    </row>
    <row r="10801">
      <c r="A10801" s="3" t="n">
        <v>2022</v>
      </c>
      <c r="B10801" s="4" t="n">
        <v>10165</v>
      </c>
      <c r="C10801" s="4" t="n">
        <v>783</v>
      </c>
      <c r="D10801" s="4" t="n">
        <v>236.8575</v>
      </c>
      <c r="E10801" s="5" t="n">
        <v>42.9</v>
      </c>
      <c r="F10801" s="3" t="inlineStr">
        <is>
          <t>전의면</t>
        </is>
      </c>
      <c r="G10801" s="3" t="inlineStr">
        <is>
          <t>다방리</t>
        </is>
      </c>
      <c r="H10801" s="3" t="inlineStr">
        <is>
          <t>생산관리지역</t>
        </is>
      </c>
      <c r="I10801" s="3" t="inlineStr">
        <is>
          <t>답</t>
        </is>
      </c>
      <c r="J10801" s="3" t="inlineStr">
        <is>
          <t>전의면</t>
        </is>
      </c>
    </row>
    <row r="10802">
      <c r="A10802" s="3" t="n">
        <v>2022</v>
      </c>
      <c r="B10802" s="4" t="n">
        <v>8700</v>
      </c>
      <c r="C10802" s="4" t="n">
        <v>304</v>
      </c>
      <c r="D10802" s="4" t="n">
        <v>91.95999999999999</v>
      </c>
      <c r="E10802" s="5" t="n">
        <v>94.59999999999999</v>
      </c>
      <c r="F10802" s="3" t="inlineStr">
        <is>
          <t>금남면</t>
        </is>
      </c>
      <c r="G10802" s="3" t="inlineStr">
        <is>
          <t>원봉리</t>
        </is>
      </c>
      <c r="H10802" s="3" t="inlineStr">
        <is>
          <t>생산관리지역</t>
        </is>
      </c>
      <c r="I10802" s="3" t="inlineStr">
        <is>
          <t>전</t>
        </is>
      </c>
      <c r="J10802" s="3" t="inlineStr">
        <is>
          <t>금남면</t>
        </is>
      </c>
    </row>
    <row r="10803">
      <c r="A10803" s="3" t="n">
        <v>2022</v>
      </c>
      <c r="B10803" s="4" t="n">
        <v>18403</v>
      </c>
      <c r="C10803" s="4" t="n">
        <v>1398</v>
      </c>
      <c r="D10803" s="4" t="n">
        <v>422.895</v>
      </c>
      <c r="E10803" s="5" t="n">
        <v>43.5</v>
      </c>
      <c r="F10803" s="3" t="inlineStr">
        <is>
          <t>전의면</t>
        </is>
      </c>
      <c r="G10803" s="3" t="inlineStr">
        <is>
          <t>다방리</t>
        </is>
      </c>
      <c r="H10803" s="3" t="inlineStr">
        <is>
          <t>생산관리지역</t>
        </is>
      </c>
      <c r="I10803" s="3" t="inlineStr">
        <is>
          <t>전</t>
        </is>
      </c>
      <c r="J10803" s="3" t="inlineStr">
        <is>
          <t>전의면</t>
        </is>
      </c>
    </row>
    <row r="10804">
      <c r="A10804" s="3" t="n">
        <v>2022</v>
      </c>
      <c r="B10804" s="4" t="n">
        <v>24932</v>
      </c>
      <c r="C10804" s="4" t="n">
        <v>1894</v>
      </c>
      <c r="D10804" s="4" t="n">
        <v>572.9349999999999</v>
      </c>
      <c r="E10804" s="5" t="n">
        <v>43.5</v>
      </c>
      <c r="F10804" s="3" t="inlineStr">
        <is>
          <t>전의면</t>
        </is>
      </c>
      <c r="G10804" s="3" t="inlineStr">
        <is>
          <t>다방리</t>
        </is>
      </c>
      <c r="H10804" s="3" t="inlineStr">
        <is>
          <t>생산관리지역</t>
        </is>
      </c>
      <c r="I10804" s="3" t="inlineStr">
        <is>
          <t>답</t>
        </is>
      </c>
      <c r="J10804" s="3" t="inlineStr">
        <is>
          <t>전의면</t>
        </is>
      </c>
    </row>
    <row r="10805">
      <c r="A10805" s="3" t="n">
        <v>2022</v>
      </c>
      <c r="B10805" s="4" t="n">
        <v>4200</v>
      </c>
      <c r="C10805" s="4" t="n">
        <v>507</v>
      </c>
      <c r="D10805" s="4" t="n">
        <v>153.3675</v>
      </c>
      <c r="E10805" s="5" t="n">
        <v>27.4</v>
      </c>
      <c r="F10805" s="3" t="inlineStr">
        <is>
          <t>소정면</t>
        </is>
      </c>
      <c r="G10805" s="3" t="inlineStr">
        <is>
          <t>소정리</t>
        </is>
      </c>
      <c r="H10805" s="3" t="inlineStr">
        <is>
          <t>농림지역</t>
        </is>
      </c>
      <c r="I10805" s="3" t="inlineStr">
        <is>
          <t>답</t>
        </is>
      </c>
      <c r="J10805" s="3" t="inlineStr">
        <is>
          <t>소정면</t>
        </is>
      </c>
    </row>
    <row r="10806">
      <c r="A10806" s="3" t="n">
        <v>2022</v>
      </c>
      <c r="B10806" s="4" t="n">
        <v>10800</v>
      </c>
      <c r="C10806" s="4" t="n">
        <v>1318</v>
      </c>
      <c r="D10806" s="4" t="n">
        <v>398.695</v>
      </c>
      <c r="E10806" s="5" t="n">
        <v>27.1</v>
      </c>
      <c r="F10806" s="3" t="inlineStr">
        <is>
          <t>소정면</t>
        </is>
      </c>
      <c r="G10806" s="3" t="inlineStr">
        <is>
          <t>소정리</t>
        </is>
      </c>
      <c r="H10806" s="3" t="inlineStr">
        <is>
          <t>농림지역</t>
        </is>
      </c>
      <c r="I10806" s="3" t="inlineStr">
        <is>
          <t>답</t>
        </is>
      </c>
      <c r="J10806" s="3" t="inlineStr">
        <is>
          <t>소정면</t>
        </is>
      </c>
    </row>
    <row r="10807">
      <c r="A10807" s="3" t="n">
        <v>2022</v>
      </c>
      <c r="B10807" s="4" t="n">
        <v>34500</v>
      </c>
      <c r="C10807" s="4" t="n">
        <v>868</v>
      </c>
      <c r="D10807" s="4" t="n">
        <v>262.57</v>
      </c>
      <c r="E10807" s="5" t="n">
        <v>131.4</v>
      </c>
      <c r="F10807" s="3" t="inlineStr">
        <is>
          <t>장군면</t>
        </is>
      </c>
      <c r="G10807" s="3" t="inlineStr">
        <is>
          <t>평기리</t>
        </is>
      </c>
      <c r="H10807" s="3" t="inlineStr">
        <is>
          <t>농림지역</t>
        </is>
      </c>
      <c r="I10807" s="3" t="inlineStr">
        <is>
          <t>답</t>
        </is>
      </c>
      <c r="J10807" s="3" t="inlineStr">
        <is>
          <t>장군면</t>
        </is>
      </c>
    </row>
    <row r="10808">
      <c r="A10808" s="3" t="n">
        <v>2022</v>
      </c>
      <c r="B10808" s="4" t="n">
        <v>32200</v>
      </c>
      <c r="C10808" s="4" t="n">
        <v>820</v>
      </c>
      <c r="D10808" s="4" t="n">
        <v>248.05</v>
      </c>
      <c r="E10808" s="5" t="n">
        <v>129.8</v>
      </c>
      <c r="F10808" s="3" t="inlineStr">
        <is>
          <t>연기면</t>
        </is>
      </c>
      <c r="G10808" s="3" t="inlineStr">
        <is>
          <t>눌왕리</t>
        </is>
      </c>
      <c r="H10808" s="3" t="inlineStr">
        <is>
          <t>계획관리지역</t>
        </is>
      </c>
      <c r="I10808" s="3" t="inlineStr">
        <is>
          <t>전</t>
        </is>
      </c>
      <c r="J10808" s="3" t="inlineStr">
        <is>
          <t>연기면</t>
        </is>
      </c>
    </row>
    <row r="10809">
      <c r="A10809" s="3" t="n">
        <v>2022</v>
      </c>
      <c r="B10809" s="4" t="n">
        <v>9820</v>
      </c>
      <c r="C10809" s="4" t="n">
        <v>1299</v>
      </c>
      <c r="D10809" s="4" t="n">
        <v>392.9475</v>
      </c>
      <c r="E10809" s="5" t="n">
        <v>25</v>
      </c>
      <c r="F10809" s="3" t="inlineStr">
        <is>
          <t>소정면</t>
        </is>
      </c>
      <c r="G10809" s="3" t="inlineStr">
        <is>
          <t>고등리</t>
        </is>
      </c>
      <c r="H10809" s="3" t="inlineStr">
        <is>
          <t>보전관리지역</t>
        </is>
      </c>
      <c r="I10809" s="3" t="inlineStr">
        <is>
          <t>답</t>
        </is>
      </c>
      <c r="J10809" s="3" t="inlineStr">
        <is>
          <t>소정면</t>
        </is>
      </c>
    </row>
    <row r="10810">
      <c r="A10810" s="3" t="n">
        <v>2022</v>
      </c>
      <c r="B10810" s="4" t="n">
        <v>15000</v>
      </c>
      <c r="C10810" s="4" t="n">
        <v>1983</v>
      </c>
      <c r="D10810" s="4" t="n">
        <v>599.8575</v>
      </c>
      <c r="E10810" s="5" t="n">
        <v>25</v>
      </c>
      <c r="F10810" s="3" t="inlineStr">
        <is>
          <t>소정면</t>
        </is>
      </c>
      <c r="G10810" s="3" t="inlineStr">
        <is>
          <t>고등리</t>
        </is>
      </c>
      <c r="H10810" s="3" t="inlineStr">
        <is>
          <t>보전관리지역</t>
        </is>
      </c>
      <c r="I10810" s="3" t="inlineStr">
        <is>
          <t>답</t>
        </is>
      </c>
      <c r="J10810" s="3" t="inlineStr">
        <is>
          <t>소정면</t>
        </is>
      </c>
    </row>
    <row r="10811">
      <c r="A10811" s="3" t="n">
        <v>2022</v>
      </c>
      <c r="B10811" s="4" t="n">
        <v>10000</v>
      </c>
      <c r="C10811" s="4" t="n">
        <v>354</v>
      </c>
      <c r="D10811" s="4" t="n">
        <v>107.085</v>
      </c>
      <c r="E10811" s="5" t="n">
        <v>93.40000000000001</v>
      </c>
      <c r="F10811" s="3" t="inlineStr">
        <is>
          <t>전의면</t>
        </is>
      </c>
      <c r="G10811" s="3" t="inlineStr">
        <is>
          <t>원성리</t>
        </is>
      </c>
      <c r="H10811" s="3" t="inlineStr">
        <is>
          <t>보전관리지역</t>
        </is>
      </c>
      <c r="I10811" s="3" t="inlineStr">
        <is>
          <t>대</t>
        </is>
      </c>
      <c r="J10811" s="3" t="inlineStr">
        <is>
          <t>전의면</t>
        </is>
      </c>
    </row>
    <row r="10812">
      <c r="A10812" s="3" t="n">
        <v>2022</v>
      </c>
      <c r="B10812" s="4" t="n">
        <v>1275</v>
      </c>
      <c r="C10812" s="4" t="n">
        <v>103</v>
      </c>
      <c r="D10812" s="4" t="n">
        <v>31.1575</v>
      </c>
      <c r="E10812" s="5" t="n">
        <v>40.9</v>
      </c>
      <c r="F10812" s="3" t="inlineStr">
        <is>
          <t>금남면</t>
        </is>
      </c>
      <c r="G10812" s="3" t="inlineStr">
        <is>
          <t>성강리</t>
        </is>
      </c>
      <c r="H10812" s="3" t="inlineStr">
        <is>
          <t>농림지역</t>
        </is>
      </c>
      <c r="I10812" s="3" t="inlineStr">
        <is>
          <t>답</t>
        </is>
      </c>
      <c r="J10812" s="3" t="inlineStr">
        <is>
          <t>금남면</t>
        </is>
      </c>
    </row>
    <row r="10813">
      <c r="A10813" s="3" t="n">
        <v>2023</v>
      </c>
      <c r="B10813" s="4" t="n">
        <v>40980</v>
      </c>
      <c r="C10813" s="4" t="n">
        <v>904</v>
      </c>
      <c r="D10813" s="4" t="n">
        <v>273.46</v>
      </c>
      <c r="E10813" s="5" t="n">
        <v>149.9</v>
      </c>
      <c r="F10813" s="3" t="inlineStr">
        <is>
          <t>금남면</t>
        </is>
      </c>
      <c r="G10813" s="3" t="inlineStr">
        <is>
          <t>박산리</t>
        </is>
      </c>
      <c r="H10813" s="3" t="inlineStr">
        <is>
          <t>자연녹지지역</t>
        </is>
      </c>
      <c r="I10813" s="3" t="inlineStr">
        <is>
          <t>대</t>
        </is>
      </c>
      <c r="J10813" s="3" t="inlineStr">
        <is>
          <t>금남면</t>
        </is>
      </c>
    </row>
    <row r="10814">
      <c r="A10814" s="3" t="n">
        <v>2023</v>
      </c>
      <c r="B10814" s="4" t="n">
        <v>780</v>
      </c>
      <c r="C10814" s="4" t="n">
        <v>48</v>
      </c>
      <c r="D10814" s="4" t="n">
        <v>14.52</v>
      </c>
      <c r="E10814" s="5" t="n">
        <v>53.7</v>
      </c>
      <c r="F10814" s="3" t="inlineStr">
        <is>
          <t>금남면</t>
        </is>
      </c>
      <c r="G10814" s="3" t="inlineStr">
        <is>
          <t>박산리</t>
        </is>
      </c>
      <c r="H10814" s="3" t="inlineStr">
        <is>
          <t>자연녹지지역</t>
        </is>
      </c>
      <c r="I10814" s="3" t="inlineStr">
        <is>
          <t>대</t>
        </is>
      </c>
      <c r="J10814" s="3" t="inlineStr">
        <is>
          <t>금남면</t>
        </is>
      </c>
    </row>
    <row r="10815">
      <c r="A10815" s="3" t="n">
        <v>2023</v>
      </c>
      <c r="B10815" s="4" t="n">
        <v>90</v>
      </c>
      <c r="C10815" s="4" t="n">
        <v>2</v>
      </c>
      <c r="D10815" s="4" t="n">
        <v>0.605</v>
      </c>
      <c r="E10815" s="5" t="n">
        <v>148.8</v>
      </c>
      <c r="F10815" s="3" t="inlineStr">
        <is>
          <t>금남면</t>
        </is>
      </c>
      <c r="G10815" s="3" t="inlineStr">
        <is>
          <t>박산리</t>
        </is>
      </c>
      <c r="H10815" s="3" t="inlineStr">
        <is>
          <t>자연녹지지역</t>
        </is>
      </c>
      <c r="I10815" s="3" t="inlineStr">
        <is>
          <t>대</t>
        </is>
      </c>
      <c r="J10815" s="3" t="inlineStr">
        <is>
          <t>금남면</t>
        </is>
      </c>
    </row>
    <row r="10816">
      <c r="A10816" s="3" t="n">
        <v>2023</v>
      </c>
      <c r="B10816" s="4" t="n">
        <v>60000</v>
      </c>
      <c r="C10816" s="4" t="n">
        <v>2797</v>
      </c>
      <c r="D10816" s="4" t="n">
        <v>846.0925</v>
      </c>
      <c r="E10816" s="5" t="n">
        <v>70.90000000000001</v>
      </c>
      <c r="F10816" s="3" t="inlineStr">
        <is>
          <t>전동면</t>
        </is>
      </c>
      <c r="G10816" s="3" t="inlineStr">
        <is>
          <t>석곡리</t>
        </is>
      </c>
      <c r="H10816" s="3" t="inlineStr">
        <is>
          <t>농림지역</t>
        </is>
      </c>
      <c r="I10816" s="3" t="inlineStr">
        <is>
          <t>답</t>
        </is>
      </c>
      <c r="J10816" s="3" t="inlineStr">
        <is>
          <t>전동면</t>
        </is>
      </c>
    </row>
    <row r="10817">
      <c r="A10817" s="3" t="n">
        <v>2023</v>
      </c>
      <c r="B10817" s="4" t="n">
        <v>2695</v>
      </c>
      <c r="C10817" s="4" t="n">
        <v>137</v>
      </c>
      <c r="D10817" s="4" t="n">
        <v>41.4425</v>
      </c>
      <c r="E10817" s="5" t="n">
        <v>65</v>
      </c>
      <c r="F10817" s="3" t="inlineStr">
        <is>
          <t>전동면</t>
        </is>
      </c>
      <c r="G10817" s="3" t="inlineStr">
        <is>
          <t>청송리</t>
        </is>
      </c>
      <c r="H10817" s="3" t="inlineStr">
        <is>
          <t>계획관리지역</t>
        </is>
      </c>
      <c r="I10817" s="3" t="inlineStr">
        <is>
          <t>임야</t>
        </is>
      </c>
      <c r="J10817" s="3" t="inlineStr">
        <is>
          <t>전동면</t>
        </is>
      </c>
    </row>
    <row r="10818">
      <c r="A10818" s="3" t="n">
        <v>2023</v>
      </c>
      <c r="B10818" s="4" t="n">
        <v>26280</v>
      </c>
      <c r="C10818" s="4" t="n">
        <v>724</v>
      </c>
      <c r="D10818" s="4" t="n">
        <v>219.01</v>
      </c>
      <c r="E10818" s="5" t="n">
        <v>120</v>
      </c>
      <c r="F10818" s="3" t="inlineStr">
        <is>
          <t>전동면</t>
        </is>
      </c>
      <c r="G10818" s="3" t="inlineStr">
        <is>
          <t>청송리</t>
        </is>
      </c>
      <c r="H10818" s="3" t="inlineStr">
        <is>
          <t>계획관리지역</t>
        </is>
      </c>
      <c r="I10818" s="3" t="inlineStr">
        <is>
          <t>대</t>
        </is>
      </c>
      <c r="J10818" s="3" t="inlineStr">
        <is>
          <t>전동면</t>
        </is>
      </c>
    </row>
    <row r="10819">
      <c r="A10819" s="3" t="n">
        <v>2023</v>
      </c>
      <c r="B10819" s="4" t="n">
        <v>26500</v>
      </c>
      <c r="C10819" s="4" t="n">
        <v>1015</v>
      </c>
      <c r="D10819" s="4" t="n">
        <v>307.0375</v>
      </c>
      <c r="E10819" s="5" t="n">
        <v>86.3</v>
      </c>
      <c r="F10819" s="3" t="inlineStr">
        <is>
          <t>연서면</t>
        </is>
      </c>
      <c r="G10819" s="3" t="inlineStr">
        <is>
          <t>국촌리</t>
        </is>
      </c>
      <c r="H10819" s="3" t="inlineStr">
        <is>
          <t>계획관리지역</t>
        </is>
      </c>
      <c r="I10819" s="3" t="inlineStr">
        <is>
          <t>전</t>
        </is>
      </c>
      <c r="J10819" s="3" t="inlineStr">
        <is>
          <t>연서면</t>
        </is>
      </c>
    </row>
    <row r="10820">
      <c r="A10820" s="3" t="n">
        <v>2023</v>
      </c>
      <c r="B10820" s="4" t="n">
        <v>73350</v>
      </c>
      <c r="C10820" s="4" t="n">
        <v>698</v>
      </c>
      <c r="D10820" s="4" t="n">
        <v>211.145</v>
      </c>
      <c r="E10820" s="5" t="n">
        <v>347.4</v>
      </c>
      <c r="F10820" s="3" t="inlineStr">
        <is>
          <t>연서면</t>
        </is>
      </c>
      <c r="G10820" s="3" t="inlineStr">
        <is>
          <t>와촌리</t>
        </is>
      </c>
      <c r="H10820" s="3" t="inlineStr">
        <is>
          <t>계획관리지역</t>
        </is>
      </c>
      <c r="I10820" s="3" t="inlineStr">
        <is>
          <t>전</t>
        </is>
      </c>
      <c r="J10820" s="3" t="inlineStr">
        <is>
          <t>연서면</t>
        </is>
      </c>
    </row>
    <row r="10821">
      <c r="A10821" s="3" t="n">
        <v>2023</v>
      </c>
      <c r="B10821" s="4" t="n">
        <v>90000</v>
      </c>
      <c r="C10821" s="4" t="n">
        <v>400</v>
      </c>
      <c r="D10821" s="4" t="n">
        <v>121</v>
      </c>
      <c r="E10821" s="5" t="n">
        <v>743.8</v>
      </c>
      <c r="F10821" s="3" t="inlineStr">
        <is>
          <t>도담동</t>
        </is>
      </c>
      <c r="G10821" s="3" t="inlineStr"/>
      <c r="H10821" s="3" t="inlineStr">
        <is>
          <t>제1종전용주거지역</t>
        </is>
      </c>
      <c r="I10821" s="3" t="inlineStr">
        <is>
          <t>대</t>
        </is>
      </c>
      <c r="J10821" s="3" t="inlineStr">
        <is>
          <t>도담동</t>
        </is>
      </c>
    </row>
    <row r="10822">
      <c r="A10822" s="3" t="n">
        <v>2023</v>
      </c>
      <c r="B10822" s="4" t="n">
        <v>16000</v>
      </c>
      <c r="C10822" s="4" t="n">
        <v>3124</v>
      </c>
      <c r="D10822" s="4" t="n">
        <v>945.01</v>
      </c>
      <c r="E10822" s="5" t="n">
        <v>16.9</v>
      </c>
      <c r="F10822" s="3" t="inlineStr">
        <is>
          <t>전의면</t>
        </is>
      </c>
      <c r="G10822" s="3" t="inlineStr">
        <is>
          <t>신정리</t>
        </is>
      </c>
      <c r="H10822" s="3" t="inlineStr">
        <is>
          <t>계획관리지역</t>
        </is>
      </c>
      <c r="I10822" s="3" t="inlineStr">
        <is>
          <t>전</t>
        </is>
      </c>
      <c r="J10822" s="3" t="inlineStr">
        <is>
          <t>전의면</t>
        </is>
      </c>
    </row>
    <row r="10823">
      <c r="A10823" s="3" t="n">
        <v>2023</v>
      </c>
      <c r="B10823" s="4" t="n">
        <v>24960</v>
      </c>
      <c r="C10823" s="4" t="n">
        <v>550</v>
      </c>
      <c r="D10823" s="4" t="n">
        <v>166.375</v>
      </c>
      <c r="E10823" s="5" t="n">
        <v>150</v>
      </c>
      <c r="F10823" s="3" t="inlineStr">
        <is>
          <t>전의면</t>
        </is>
      </c>
      <c r="G10823" s="3" t="inlineStr">
        <is>
          <t>서정리</t>
        </is>
      </c>
      <c r="H10823" s="3" t="inlineStr">
        <is>
          <t>계획관리지역</t>
        </is>
      </c>
      <c r="I10823" s="3" t="inlineStr">
        <is>
          <t>대</t>
        </is>
      </c>
      <c r="J10823" s="3" t="inlineStr">
        <is>
          <t>전의면</t>
        </is>
      </c>
    </row>
    <row r="10824">
      <c r="A10824" s="3" t="n">
        <v>2023</v>
      </c>
      <c r="B10824" s="4" t="n">
        <v>67500</v>
      </c>
      <c r="C10824" s="4" t="n">
        <v>891</v>
      </c>
      <c r="D10824" s="4" t="n">
        <v>269.5275</v>
      </c>
      <c r="E10824" s="5" t="n">
        <v>250.4</v>
      </c>
      <c r="F10824" s="3" t="inlineStr">
        <is>
          <t>금남면</t>
        </is>
      </c>
      <c r="G10824" s="3" t="inlineStr">
        <is>
          <t>발산리</t>
        </is>
      </c>
      <c r="H10824" s="3" t="inlineStr">
        <is>
          <t>개발제한구역</t>
        </is>
      </c>
      <c r="I10824" s="3" t="inlineStr">
        <is>
          <t>전</t>
        </is>
      </c>
      <c r="J10824" s="3" t="inlineStr">
        <is>
          <t>금남면</t>
        </is>
      </c>
    </row>
    <row r="10825">
      <c r="A10825" s="3" t="n">
        <v>2023</v>
      </c>
      <c r="B10825" s="4" t="n">
        <v>44850</v>
      </c>
      <c r="C10825" s="4" t="n">
        <v>1289</v>
      </c>
      <c r="D10825" s="4" t="n">
        <v>389.9225</v>
      </c>
      <c r="E10825" s="5" t="n">
        <v>115</v>
      </c>
      <c r="F10825" s="3" t="inlineStr">
        <is>
          <t>금남면</t>
        </is>
      </c>
      <c r="G10825" s="3" t="inlineStr">
        <is>
          <t>장재리</t>
        </is>
      </c>
      <c r="H10825" s="3" t="inlineStr">
        <is>
          <t>개발제한구역</t>
        </is>
      </c>
      <c r="I10825" s="3" t="inlineStr">
        <is>
          <t>답</t>
        </is>
      </c>
      <c r="J10825" s="3" t="inlineStr">
        <is>
          <t>금남면</t>
        </is>
      </c>
    </row>
    <row r="10826">
      <c r="A10826" s="3" t="n">
        <v>2023</v>
      </c>
      <c r="B10826" s="4" t="n">
        <v>65000</v>
      </c>
      <c r="C10826" s="4" t="n">
        <v>3173.3</v>
      </c>
      <c r="D10826" s="4" t="n">
        <v>959.9232500000001</v>
      </c>
      <c r="E10826" s="5" t="n">
        <v>67.7</v>
      </c>
      <c r="F10826" s="3" t="inlineStr">
        <is>
          <t>연동면</t>
        </is>
      </c>
      <c r="G10826" s="3" t="inlineStr">
        <is>
          <t>문주리</t>
        </is>
      </c>
      <c r="H10826" s="3" t="inlineStr">
        <is>
          <t>농림지역</t>
        </is>
      </c>
      <c r="I10826" s="3" t="inlineStr">
        <is>
          <t>답</t>
        </is>
      </c>
      <c r="J10826" s="3" t="inlineStr">
        <is>
          <t>연동면</t>
        </is>
      </c>
    </row>
    <row r="10827">
      <c r="A10827" s="3" t="n">
        <v>2023</v>
      </c>
      <c r="B10827" s="4" t="n">
        <v>3291</v>
      </c>
      <c r="C10827" s="4" t="n">
        <v>121</v>
      </c>
      <c r="D10827" s="4" t="n">
        <v>36.6025</v>
      </c>
      <c r="E10827" s="5" t="n">
        <v>89.90000000000001</v>
      </c>
      <c r="F10827" s="3" t="inlineStr">
        <is>
          <t>전의면</t>
        </is>
      </c>
      <c r="G10827" s="3" t="inlineStr">
        <is>
          <t>서정리</t>
        </is>
      </c>
      <c r="H10827" s="3" t="inlineStr">
        <is>
          <t>계획관리지역</t>
        </is>
      </c>
      <c r="I10827" s="3" t="inlineStr">
        <is>
          <t>대</t>
        </is>
      </c>
      <c r="J10827" s="3" t="inlineStr">
        <is>
          <t>전의면</t>
        </is>
      </c>
    </row>
    <row r="10828">
      <c r="A10828" s="3" t="n">
        <v>2023</v>
      </c>
      <c r="B10828" s="4" t="n">
        <v>27</v>
      </c>
      <c r="C10828" s="4" t="n">
        <v>1</v>
      </c>
      <c r="D10828" s="4" t="n">
        <v>0.3025</v>
      </c>
      <c r="E10828" s="5" t="n">
        <v>89.3</v>
      </c>
      <c r="F10828" s="3" t="inlineStr">
        <is>
          <t>전의면</t>
        </is>
      </c>
      <c r="G10828" s="3" t="inlineStr">
        <is>
          <t>서정리</t>
        </is>
      </c>
      <c r="H10828" s="3" t="inlineStr">
        <is>
          <t>계획관리지역</t>
        </is>
      </c>
      <c r="I10828" s="3" t="inlineStr">
        <is>
          <t>대</t>
        </is>
      </c>
      <c r="J10828" s="3" t="inlineStr">
        <is>
          <t>전의면</t>
        </is>
      </c>
    </row>
    <row r="10829">
      <c r="A10829" s="3" t="n">
        <v>2023</v>
      </c>
      <c r="B10829" s="4" t="n">
        <v>164</v>
      </c>
      <c r="C10829" s="4" t="n">
        <v>6</v>
      </c>
      <c r="D10829" s="4" t="n">
        <v>1.815</v>
      </c>
      <c r="E10829" s="5" t="n">
        <v>90.40000000000001</v>
      </c>
      <c r="F10829" s="3" t="inlineStr">
        <is>
          <t>전의면</t>
        </is>
      </c>
      <c r="G10829" s="3" t="inlineStr">
        <is>
          <t>서정리</t>
        </is>
      </c>
      <c r="H10829" s="3" t="inlineStr">
        <is>
          <t>농림지역</t>
        </is>
      </c>
      <c r="I10829" s="3" t="inlineStr">
        <is>
          <t>대</t>
        </is>
      </c>
      <c r="J10829" s="3" t="inlineStr">
        <is>
          <t>전의면</t>
        </is>
      </c>
    </row>
    <row r="10830">
      <c r="A10830" s="3" t="n">
        <v>2023</v>
      </c>
      <c r="B10830" s="4" t="n">
        <v>1986</v>
      </c>
      <c r="C10830" s="4" t="n">
        <v>73</v>
      </c>
      <c r="D10830" s="4" t="n">
        <v>22.0825</v>
      </c>
      <c r="E10830" s="5" t="n">
        <v>89.90000000000001</v>
      </c>
      <c r="F10830" s="3" t="inlineStr">
        <is>
          <t>전의면</t>
        </is>
      </c>
      <c r="G10830" s="3" t="inlineStr">
        <is>
          <t>서정리</t>
        </is>
      </c>
      <c r="H10830" s="3" t="inlineStr">
        <is>
          <t>계획관리지역</t>
        </is>
      </c>
      <c r="I10830" s="3" t="inlineStr">
        <is>
          <t>대</t>
        </is>
      </c>
      <c r="J10830" s="3" t="inlineStr">
        <is>
          <t>전의면</t>
        </is>
      </c>
    </row>
    <row r="10831">
      <c r="A10831" s="3" t="n">
        <v>2023</v>
      </c>
      <c r="B10831" s="4" t="n">
        <v>9313</v>
      </c>
      <c r="C10831" s="4" t="n">
        <v>341</v>
      </c>
      <c r="D10831" s="4" t="n">
        <v>103.1525</v>
      </c>
      <c r="E10831" s="5" t="n">
        <v>90.3</v>
      </c>
      <c r="F10831" s="3" t="inlineStr">
        <is>
          <t>전의면</t>
        </is>
      </c>
      <c r="G10831" s="3" t="inlineStr">
        <is>
          <t>서정리</t>
        </is>
      </c>
      <c r="H10831" s="3" t="inlineStr">
        <is>
          <t>계획관리지역</t>
        </is>
      </c>
      <c r="I10831" s="3" t="inlineStr">
        <is>
          <t>대</t>
        </is>
      </c>
      <c r="J10831" s="3" t="inlineStr">
        <is>
          <t>전의면</t>
        </is>
      </c>
    </row>
    <row r="10832">
      <c r="A10832" s="3" t="n">
        <v>2022</v>
      </c>
      <c r="B10832" s="4" t="n">
        <v>7377</v>
      </c>
      <c r="C10832" s="4" t="n">
        <v>1039</v>
      </c>
      <c r="D10832" s="4" t="n">
        <v>314.2975</v>
      </c>
      <c r="E10832" s="5" t="n">
        <v>23.5</v>
      </c>
      <c r="F10832" s="3" t="inlineStr">
        <is>
          <t>소정면</t>
        </is>
      </c>
      <c r="G10832" s="3" t="inlineStr">
        <is>
          <t>소정리</t>
        </is>
      </c>
      <c r="H10832" s="3" t="inlineStr">
        <is>
          <t>농림지역</t>
        </is>
      </c>
      <c r="I10832" s="3" t="inlineStr">
        <is>
          <t>답</t>
        </is>
      </c>
      <c r="J10832" s="3" t="inlineStr">
        <is>
          <t>소정면</t>
        </is>
      </c>
    </row>
    <row r="10833">
      <c r="A10833" s="3" t="n">
        <v>2022</v>
      </c>
      <c r="B10833" s="4" t="n">
        <v>21570</v>
      </c>
      <c r="C10833" s="4" t="n">
        <v>3038</v>
      </c>
      <c r="D10833" s="4" t="n">
        <v>918.995</v>
      </c>
      <c r="E10833" s="5" t="n">
        <v>23.5</v>
      </c>
      <c r="F10833" s="3" t="inlineStr">
        <is>
          <t>소정면</t>
        </is>
      </c>
      <c r="G10833" s="3" t="inlineStr">
        <is>
          <t>소정리</t>
        </is>
      </c>
      <c r="H10833" s="3" t="inlineStr">
        <is>
          <t>농림지역</t>
        </is>
      </c>
      <c r="I10833" s="3" t="inlineStr">
        <is>
          <t>답</t>
        </is>
      </c>
      <c r="J10833" s="3" t="inlineStr">
        <is>
          <t>소정면</t>
        </is>
      </c>
    </row>
    <row r="10834">
      <c r="A10834" s="3" t="n">
        <v>2022</v>
      </c>
      <c r="B10834" s="4" t="n">
        <v>12500</v>
      </c>
      <c r="C10834" s="4" t="n">
        <v>330</v>
      </c>
      <c r="D10834" s="4" t="n">
        <v>99.825</v>
      </c>
      <c r="E10834" s="5" t="n">
        <v>125.2</v>
      </c>
      <c r="F10834" s="3" t="inlineStr">
        <is>
          <t>연서면</t>
        </is>
      </c>
      <c r="G10834" s="3" t="inlineStr">
        <is>
          <t>쌍류리</t>
        </is>
      </c>
      <c r="H10834" s="3" t="inlineStr">
        <is>
          <t>생산관리지역</t>
        </is>
      </c>
      <c r="I10834" s="3" t="inlineStr">
        <is>
          <t>과수원</t>
        </is>
      </c>
      <c r="J10834" s="3" t="inlineStr">
        <is>
          <t>연서면</t>
        </is>
      </c>
    </row>
    <row r="10835">
      <c r="A10835" s="3" t="n">
        <v>2022</v>
      </c>
      <c r="B10835" s="4" t="n">
        <v>16500</v>
      </c>
      <c r="C10835" s="4" t="n">
        <v>1593</v>
      </c>
      <c r="D10835" s="4" t="n">
        <v>481.8825</v>
      </c>
      <c r="E10835" s="5" t="n">
        <v>34.2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계획관리지역</t>
        </is>
      </c>
      <c r="I10835" s="3" t="inlineStr">
        <is>
          <t>답</t>
        </is>
      </c>
      <c r="J10835" s="3" t="inlineStr">
        <is>
          <t>소정면</t>
        </is>
      </c>
    </row>
    <row r="10836">
      <c r="A10836" s="3" t="n">
        <v>2022</v>
      </c>
      <c r="B10836" s="4" t="n">
        <v>32000</v>
      </c>
      <c r="C10836" s="4" t="n">
        <v>2015.5</v>
      </c>
      <c r="D10836" s="4" t="n">
        <v>609.68875</v>
      </c>
      <c r="E10836" s="5" t="n">
        <v>52.5</v>
      </c>
      <c r="F10836" s="3" t="inlineStr">
        <is>
          <t>연서면</t>
        </is>
      </c>
      <c r="G10836" s="3" t="inlineStr">
        <is>
          <t>월하리</t>
        </is>
      </c>
      <c r="H10836" s="3" t="inlineStr">
        <is>
          <t>농림지역</t>
        </is>
      </c>
      <c r="I10836" s="3" t="inlineStr">
        <is>
          <t>답</t>
        </is>
      </c>
      <c r="J10836" s="3" t="inlineStr">
        <is>
          <t>연서면</t>
        </is>
      </c>
    </row>
    <row r="10837">
      <c r="A10837" s="3" t="n">
        <v>2022</v>
      </c>
      <c r="B10837" s="4" t="n">
        <v>125000</v>
      </c>
      <c r="C10837" s="4" t="n">
        <v>3560</v>
      </c>
      <c r="D10837" s="4" t="n">
        <v>1076.9</v>
      </c>
      <c r="E10837" s="5" t="n">
        <v>116.1</v>
      </c>
      <c r="F10837" s="3" t="inlineStr">
        <is>
          <t>장군면</t>
        </is>
      </c>
      <c r="G10837" s="3" t="inlineStr">
        <is>
          <t>하봉리</t>
        </is>
      </c>
      <c r="H10837" s="3" t="inlineStr">
        <is>
          <t>농림지역</t>
        </is>
      </c>
      <c r="I10837" s="3" t="inlineStr">
        <is>
          <t>답</t>
        </is>
      </c>
      <c r="J10837" s="3" t="inlineStr">
        <is>
          <t>장군면</t>
        </is>
      </c>
    </row>
    <row r="10838">
      <c r="A10838" s="3" t="n">
        <v>2022</v>
      </c>
      <c r="B10838" s="4" t="n">
        <v>15760</v>
      </c>
      <c r="C10838" s="4" t="n">
        <v>1738</v>
      </c>
      <c r="D10838" s="4" t="n">
        <v>525.745</v>
      </c>
      <c r="E10838" s="5" t="n">
        <v>30</v>
      </c>
      <c r="F10838" s="3" t="inlineStr">
        <is>
          <t>소정면</t>
        </is>
      </c>
      <c r="G10838" s="3" t="inlineStr">
        <is>
          <t>소정리</t>
        </is>
      </c>
      <c r="H10838" s="3" t="inlineStr">
        <is>
          <t>농림지역</t>
        </is>
      </c>
      <c r="I10838" s="3" t="inlineStr">
        <is>
          <t>답</t>
        </is>
      </c>
      <c r="J10838" s="3" t="inlineStr">
        <is>
          <t>소정면</t>
        </is>
      </c>
    </row>
    <row r="10839">
      <c r="A10839" s="3" t="n">
        <v>2022</v>
      </c>
      <c r="B10839" s="4" t="n">
        <v>8820</v>
      </c>
      <c r="C10839" s="4" t="n">
        <v>973</v>
      </c>
      <c r="D10839" s="4" t="n">
        <v>294.3325</v>
      </c>
      <c r="E10839" s="5" t="n">
        <v>30</v>
      </c>
      <c r="F10839" s="3" t="inlineStr">
        <is>
          <t>소정면</t>
        </is>
      </c>
      <c r="G10839" s="3" t="inlineStr">
        <is>
          <t>소정리</t>
        </is>
      </c>
      <c r="H10839" s="3" t="inlineStr">
        <is>
          <t>농림지역</t>
        </is>
      </c>
      <c r="I10839" s="3" t="inlineStr">
        <is>
          <t>답</t>
        </is>
      </c>
      <c r="J10839" s="3" t="inlineStr">
        <is>
          <t>소정면</t>
        </is>
      </c>
    </row>
    <row r="10840">
      <c r="A10840" s="3" t="n">
        <v>2022</v>
      </c>
      <c r="B10840" s="4" t="n">
        <v>4460</v>
      </c>
      <c r="C10840" s="4" t="n">
        <v>491</v>
      </c>
      <c r="D10840" s="4" t="n">
        <v>148.5275</v>
      </c>
      <c r="E10840" s="5" t="n">
        <v>30</v>
      </c>
      <c r="F10840" s="3" t="inlineStr">
        <is>
          <t>소정면</t>
        </is>
      </c>
      <c r="G10840" s="3" t="inlineStr">
        <is>
          <t>소정리</t>
        </is>
      </c>
      <c r="H10840" s="3" t="inlineStr">
        <is>
          <t>농림지역</t>
        </is>
      </c>
      <c r="I10840" s="3" t="inlineStr">
        <is>
          <t>답</t>
        </is>
      </c>
      <c r="J10840" s="3" t="inlineStr">
        <is>
          <t>소정면</t>
        </is>
      </c>
    </row>
    <row r="10841">
      <c r="A10841" s="3" t="n">
        <v>2022</v>
      </c>
      <c r="B10841" s="4" t="n">
        <v>88500</v>
      </c>
      <c r="C10841" s="4" t="n">
        <v>854</v>
      </c>
      <c r="D10841" s="4" t="n">
        <v>258.335</v>
      </c>
      <c r="E10841" s="5" t="n">
        <v>342.6</v>
      </c>
      <c r="F10841" s="3" t="inlineStr">
        <is>
          <t>부강면</t>
        </is>
      </c>
      <c r="G10841" s="3" t="inlineStr">
        <is>
          <t>부강리</t>
        </is>
      </c>
      <c r="H10841" s="3" t="inlineStr">
        <is>
          <t>계획관리지역</t>
        </is>
      </c>
      <c r="I10841" s="3" t="inlineStr">
        <is>
          <t>공장용지</t>
        </is>
      </c>
      <c r="J10841" s="3" t="inlineStr">
        <is>
          <t>부강면</t>
        </is>
      </c>
    </row>
    <row r="10842">
      <c r="A10842" s="3" t="n">
        <v>2022</v>
      </c>
      <c r="B10842" s="4" t="n">
        <v>88500</v>
      </c>
      <c r="C10842" s="4" t="n">
        <v>854</v>
      </c>
      <c r="D10842" s="4" t="n">
        <v>258.335</v>
      </c>
      <c r="E10842" s="5" t="n">
        <v>342.6</v>
      </c>
      <c r="F10842" s="3" t="inlineStr">
        <is>
          <t>부강면</t>
        </is>
      </c>
      <c r="G10842" s="3" t="inlineStr">
        <is>
          <t>부강리</t>
        </is>
      </c>
      <c r="H10842" s="3" t="inlineStr">
        <is>
          <t>계획관리지역</t>
        </is>
      </c>
      <c r="I10842" s="3" t="inlineStr">
        <is>
          <t>공장용지</t>
        </is>
      </c>
      <c r="J10842" s="3" t="inlineStr">
        <is>
          <t>부강면</t>
        </is>
      </c>
    </row>
    <row r="10843">
      <c r="A10843" s="3" t="n">
        <v>2022</v>
      </c>
      <c r="B10843" s="4" t="n">
        <v>239564</v>
      </c>
      <c r="C10843" s="4" t="n">
        <v>19800</v>
      </c>
      <c r="D10843" s="4" t="n">
        <v>5989.5</v>
      </c>
      <c r="E10843" s="5" t="n">
        <v>40</v>
      </c>
      <c r="F10843" s="3" t="inlineStr">
        <is>
          <t>부강면</t>
        </is>
      </c>
      <c r="G10843" s="3" t="inlineStr">
        <is>
          <t>갈산리</t>
        </is>
      </c>
      <c r="H10843" s="3" t="inlineStr">
        <is>
          <t>계획관리지역</t>
        </is>
      </c>
      <c r="I10843" s="3" t="inlineStr">
        <is>
          <t>임야</t>
        </is>
      </c>
      <c r="J10843" s="3" t="inlineStr">
        <is>
          <t>부강면</t>
        </is>
      </c>
    </row>
    <row r="10844">
      <c r="A10844" s="3" t="n">
        <v>2022</v>
      </c>
      <c r="B10844" s="4" t="n">
        <v>168156</v>
      </c>
      <c r="C10844" s="4" t="n">
        <v>13898</v>
      </c>
      <c r="D10844" s="4" t="n">
        <v>4204.145</v>
      </c>
      <c r="E10844" s="5" t="n">
        <v>40</v>
      </c>
      <c r="F10844" s="3" t="inlineStr">
        <is>
          <t>부강면</t>
        </is>
      </c>
      <c r="G10844" s="3" t="inlineStr">
        <is>
          <t>갈산리</t>
        </is>
      </c>
      <c r="H10844" s="3" t="inlineStr">
        <is>
          <t>계획관리지역</t>
        </is>
      </c>
      <c r="I10844" s="3" t="inlineStr">
        <is>
          <t>임야</t>
        </is>
      </c>
      <c r="J10844" s="3" t="inlineStr">
        <is>
          <t>부강면</t>
        </is>
      </c>
    </row>
    <row r="10845">
      <c r="A10845" s="3" t="n">
        <v>2022</v>
      </c>
      <c r="B10845" s="4" t="n">
        <v>2810</v>
      </c>
      <c r="C10845" s="4" t="n">
        <v>72</v>
      </c>
      <c r="D10845" s="4" t="n">
        <v>21.78</v>
      </c>
      <c r="E10845" s="5" t="n">
        <v>129</v>
      </c>
      <c r="F10845" s="3" t="inlineStr">
        <is>
          <t>장군면</t>
        </is>
      </c>
      <c r="G10845" s="3" t="inlineStr">
        <is>
          <t>하봉리</t>
        </is>
      </c>
      <c r="H10845" s="3" t="inlineStr">
        <is>
          <t>농림지역</t>
        </is>
      </c>
      <c r="I10845" s="3" t="inlineStr">
        <is>
          <t>전</t>
        </is>
      </c>
      <c r="J10845" s="3" t="inlineStr">
        <is>
          <t>장군면</t>
        </is>
      </c>
    </row>
    <row r="10846">
      <c r="A10846" s="3" t="n">
        <v>2022</v>
      </c>
      <c r="B10846" s="4" t="n">
        <v>5400</v>
      </c>
      <c r="C10846" s="4" t="n">
        <v>1038</v>
      </c>
      <c r="D10846" s="4" t="n">
        <v>313.995</v>
      </c>
      <c r="E10846" s="5" t="n">
        <v>17.2</v>
      </c>
      <c r="F10846" s="3" t="inlineStr">
        <is>
          <t>유구읍</t>
        </is>
      </c>
      <c r="G10846" s="3" t="inlineStr">
        <is>
          <t>명곡리</t>
        </is>
      </c>
      <c r="H10846" s="3" t="inlineStr">
        <is>
          <t>계획관리지역</t>
        </is>
      </c>
      <c r="I10846" s="3" t="inlineStr">
        <is>
          <t>답</t>
        </is>
      </c>
      <c r="J10846" s="3" t="inlineStr">
        <is>
          <t>유구읍</t>
        </is>
      </c>
    </row>
    <row r="10847">
      <c r="A10847" s="3" t="n">
        <v>2022</v>
      </c>
      <c r="B10847" s="4" t="n">
        <v>3250</v>
      </c>
      <c r="C10847" s="4" t="n">
        <v>853</v>
      </c>
      <c r="D10847" s="4" t="n">
        <v>258.0325</v>
      </c>
      <c r="E10847" s="5" t="n">
        <v>12.6</v>
      </c>
      <c r="F10847" s="3" t="inlineStr">
        <is>
          <t>유구읍</t>
        </is>
      </c>
      <c r="G10847" s="3" t="inlineStr">
        <is>
          <t>유구리</t>
        </is>
      </c>
      <c r="H10847" s="3" t="inlineStr">
        <is>
          <t>계획관리지역</t>
        </is>
      </c>
      <c r="I10847" s="3" t="inlineStr">
        <is>
          <t>전</t>
        </is>
      </c>
      <c r="J10847" s="3" t="inlineStr">
        <is>
          <t>유구읍</t>
        </is>
      </c>
    </row>
    <row r="10848">
      <c r="A10848" s="3" t="n">
        <v>2022</v>
      </c>
      <c r="B10848" s="4" t="n">
        <v>4550</v>
      </c>
      <c r="C10848" s="4" t="n">
        <v>1064</v>
      </c>
      <c r="D10848" s="4" t="n">
        <v>321.86</v>
      </c>
      <c r="E10848" s="5" t="n">
        <v>14.1</v>
      </c>
      <c r="F10848" s="3" t="inlineStr">
        <is>
          <t>유구읍</t>
        </is>
      </c>
      <c r="G10848" s="3" t="inlineStr">
        <is>
          <t>유구리</t>
        </is>
      </c>
      <c r="H10848" s="3" t="inlineStr">
        <is>
          <t>계획관리지역</t>
        </is>
      </c>
      <c r="I10848" s="3" t="inlineStr">
        <is>
          <t>전</t>
        </is>
      </c>
      <c r="J10848" s="3" t="inlineStr">
        <is>
          <t>유구읍</t>
        </is>
      </c>
    </row>
    <row r="10849">
      <c r="A10849" s="3" t="n">
        <v>2022</v>
      </c>
      <c r="B10849" s="4" t="n">
        <v>400</v>
      </c>
      <c r="C10849" s="4" t="n">
        <v>23</v>
      </c>
      <c r="D10849" s="4" t="n">
        <v>6.9575</v>
      </c>
      <c r="E10849" s="5" t="n">
        <v>57.5</v>
      </c>
      <c r="F10849" s="3" t="inlineStr">
        <is>
          <t>유구읍</t>
        </is>
      </c>
      <c r="G10849" s="3" t="inlineStr">
        <is>
          <t>유구리</t>
        </is>
      </c>
      <c r="H10849" s="3" t="inlineStr">
        <is>
          <t>자연녹지지역</t>
        </is>
      </c>
      <c r="I10849" s="3" t="inlineStr">
        <is>
          <t>전</t>
        </is>
      </c>
      <c r="J10849" s="3" t="inlineStr">
        <is>
          <t>유구읍</t>
        </is>
      </c>
    </row>
    <row r="10850">
      <c r="A10850" s="3" t="n">
        <v>2022</v>
      </c>
      <c r="B10850" s="4" t="n">
        <v>1680</v>
      </c>
      <c r="C10850" s="4" t="n">
        <v>84</v>
      </c>
      <c r="D10850" s="4" t="n">
        <v>25.41</v>
      </c>
      <c r="E10850" s="5" t="n">
        <v>66.09999999999999</v>
      </c>
      <c r="F10850" s="3" t="inlineStr">
        <is>
          <t>유구읍</t>
        </is>
      </c>
      <c r="G10850" s="3" t="inlineStr">
        <is>
          <t>유구리</t>
        </is>
      </c>
      <c r="H10850" s="3" t="inlineStr">
        <is>
          <t>자연녹지지역</t>
        </is>
      </c>
      <c r="I10850" s="3" t="inlineStr">
        <is>
          <t>전</t>
        </is>
      </c>
      <c r="J10850" s="3" t="inlineStr">
        <is>
          <t>유구읍</t>
        </is>
      </c>
    </row>
    <row r="10851">
      <c r="A10851" s="3" t="n">
        <v>2022</v>
      </c>
      <c r="B10851" s="4" t="n">
        <v>300</v>
      </c>
      <c r="C10851" s="4" t="n">
        <v>45</v>
      </c>
      <c r="D10851" s="4" t="n">
        <v>13.6125</v>
      </c>
      <c r="E10851" s="5" t="n">
        <v>22</v>
      </c>
      <c r="F10851" s="3" t="inlineStr">
        <is>
          <t>유구읍</t>
        </is>
      </c>
      <c r="G10851" s="3" t="inlineStr">
        <is>
          <t>유구리</t>
        </is>
      </c>
      <c r="H10851" s="3" t="inlineStr">
        <is>
          <t>자연녹지지역</t>
        </is>
      </c>
      <c r="I10851" s="3" t="inlineStr">
        <is>
          <t>임야</t>
        </is>
      </c>
      <c r="J10851" s="3" t="inlineStr">
        <is>
          <t>유구읍</t>
        </is>
      </c>
    </row>
    <row r="10852">
      <c r="A10852" s="3" t="n">
        <v>2022</v>
      </c>
      <c r="B10852" s="4" t="n">
        <v>2120</v>
      </c>
      <c r="C10852" s="4" t="n">
        <v>106</v>
      </c>
      <c r="D10852" s="4" t="n">
        <v>32.065</v>
      </c>
      <c r="E10852" s="5" t="n">
        <v>66.09999999999999</v>
      </c>
      <c r="F10852" s="3" t="inlineStr">
        <is>
          <t>유구읍</t>
        </is>
      </c>
      <c r="G10852" s="3" t="inlineStr">
        <is>
          <t>유구리</t>
        </is>
      </c>
      <c r="H10852" s="3" t="inlineStr">
        <is>
          <t>자연녹지지역</t>
        </is>
      </c>
      <c r="I10852" s="3" t="inlineStr">
        <is>
          <t>답</t>
        </is>
      </c>
      <c r="J10852" s="3" t="inlineStr">
        <is>
          <t>유구읍</t>
        </is>
      </c>
    </row>
    <row r="10853">
      <c r="A10853" s="3" t="n">
        <v>2022</v>
      </c>
      <c r="B10853" s="4" t="n">
        <v>1545</v>
      </c>
      <c r="C10853" s="4" t="n">
        <v>522</v>
      </c>
      <c r="D10853" s="4" t="n">
        <v>157.905</v>
      </c>
      <c r="E10853" s="5" t="n">
        <v>9.800000000000001</v>
      </c>
      <c r="F10853" s="3" t="inlineStr">
        <is>
          <t>유구읍</t>
        </is>
      </c>
      <c r="G10853" s="3" t="inlineStr">
        <is>
          <t>덕곡리</t>
        </is>
      </c>
      <c r="H10853" s="3" t="inlineStr">
        <is>
          <t>보전관리지역</t>
        </is>
      </c>
      <c r="I10853" s="3" t="inlineStr">
        <is>
          <t>답</t>
        </is>
      </c>
      <c r="J10853" s="3" t="inlineStr">
        <is>
          <t>유구읍</t>
        </is>
      </c>
    </row>
    <row r="10854">
      <c r="A10854" s="3" t="n">
        <v>2022</v>
      </c>
      <c r="B10854" s="4" t="n">
        <v>1955</v>
      </c>
      <c r="C10854" s="4" t="n">
        <v>661</v>
      </c>
      <c r="D10854" s="4" t="n">
        <v>199.9525</v>
      </c>
      <c r="E10854" s="5" t="n">
        <v>9.800000000000001</v>
      </c>
      <c r="F10854" s="3" t="inlineStr">
        <is>
          <t>유구읍</t>
        </is>
      </c>
      <c r="G10854" s="3" t="inlineStr">
        <is>
          <t>덕곡리</t>
        </is>
      </c>
      <c r="H10854" s="3" t="inlineStr">
        <is>
          <t>보전관리지역</t>
        </is>
      </c>
      <c r="I10854" s="3" t="inlineStr">
        <is>
          <t>답</t>
        </is>
      </c>
      <c r="J10854" s="3" t="inlineStr">
        <is>
          <t>유구읍</t>
        </is>
      </c>
    </row>
    <row r="10855">
      <c r="A10855" s="3" t="n">
        <v>2022</v>
      </c>
      <c r="B10855" s="4" t="n">
        <v>7540</v>
      </c>
      <c r="C10855" s="4" t="n">
        <v>257</v>
      </c>
      <c r="D10855" s="4" t="n">
        <v>77.74249999999999</v>
      </c>
      <c r="E10855" s="5" t="n">
        <v>97</v>
      </c>
      <c r="F10855" s="3" t="inlineStr">
        <is>
          <t>유구읍</t>
        </is>
      </c>
      <c r="G10855" s="3" t="inlineStr">
        <is>
          <t>백교리</t>
        </is>
      </c>
      <c r="H10855" s="3" t="inlineStr">
        <is>
          <t>준주거지역</t>
        </is>
      </c>
      <c r="I10855" s="3" t="inlineStr">
        <is>
          <t>대</t>
        </is>
      </c>
      <c r="J10855" s="3" t="inlineStr">
        <is>
          <t>유구읍</t>
        </is>
      </c>
    </row>
    <row r="10856">
      <c r="A10856" s="3" t="n">
        <v>2022</v>
      </c>
      <c r="B10856" s="4" t="n">
        <v>6960</v>
      </c>
      <c r="C10856" s="4" t="n">
        <v>240</v>
      </c>
      <c r="D10856" s="4" t="n">
        <v>72.59999999999999</v>
      </c>
      <c r="E10856" s="5" t="n">
        <v>95.90000000000001</v>
      </c>
      <c r="F10856" s="3" t="inlineStr">
        <is>
          <t>유구읍</t>
        </is>
      </c>
      <c r="G10856" s="3" t="inlineStr">
        <is>
          <t>백교리</t>
        </is>
      </c>
      <c r="H10856" s="3" t="inlineStr">
        <is>
          <t>준주거지역</t>
        </is>
      </c>
      <c r="I10856" s="3" t="inlineStr">
        <is>
          <t>답</t>
        </is>
      </c>
      <c r="J10856" s="3" t="inlineStr">
        <is>
          <t>유구읍</t>
        </is>
      </c>
    </row>
    <row r="10857">
      <c r="A10857" s="3" t="n">
        <v>2022</v>
      </c>
      <c r="B10857" s="4" t="n">
        <v>11900</v>
      </c>
      <c r="C10857" s="4" t="n">
        <v>3036</v>
      </c>
      <c r="D10857" s="4" t="n">
        <v>918.39</v>
      </c>
      <c r="E10857" s="5" t="n">
        <v>13</v>
      </c>
      <c r="F10857" s="3" t="inlineStr">
        <is>
          <t>유구읍</t>
        </is>
      </c>
      <c r="G10857" s="3" t="inlineStr">
        <is>
          <t>입석리</t>
        </is>
      </c>
      <c r="H10857" s="3" t="inlineStr">
        <is>
          <t>농림지역</t>
        </is>
      </c>
      <c r="I10857" s="3" t="inlineStr">
        <is>
          <t>답</t>
        </is>
      </c>
      <c r="J10857" s="3" t="inlineStr">
        <is>
          <t>유구읍</t>
        </is>
      </c>
    </row>
    <row r="10858">
      <c r="A10858" s="3" t="n">
        <v>2022</v>
      </c>
      <c r="B10858" s="4" t="n">
        <v>8500</v>
      </c>
      <c r="C10858" s="4" t="n">
        <v>1187</v>
      </c>
      <c r="D10858" s="4" t="n">
        <v>359.0675</v>
      </c>
      <c r="E10858" s="5" t="n">
        <v>23.7</v>
      </c>
      <c r="F10858" s="3" t="inlineStr">
        <is>
          <t>유구읍</t>
        </is>
      </c>
      <c r="G10858" s="3" t="inlineStr">
        <is>
          <t>신영리</t>
        </is>
      </c>
      <c r="H10858" s="3" t="inlineStr">
        <is>
          <t>계획관리지역</t>
        </is>
      </c>
      <c r="I10858" s="3" t="inlineStr">
        <is>
          <t>전</t>
        </is>
      </c>
      <c r="J10858" s="3" t="inlineStr">
        <is>
          <t>유구읍</t>
        </is>
      </c>
    </row>
    <row r="10859">
      <c r="A10859" s="3" t="n">
        <v>2023</v>
      </c>
      <c r="B10859" s="4" t="n">
        <v>13630</v>
      </c>
      <c r="C10859" s="4" t="n">
        <v>500</v>
      </c>
      <c r="D10859" s="4" t="n">
        <v>151.25</v>
      </c>
      <c r="E10859" s="5" t="n">
        <v>90.09999999999999</v>
      </c>
      <c r="F10859" s="3" t="inlineStr">
        <is>
          <t>전의면</t>
        </is>
      </c>
      <c r="G10859" s="3" t="inlineStr">
        <is>
          <t>서정리</t>
        </is>
      </c>
      <c r="H10859" s="3" t="inlineStr">
        <is>
          <t>계획관리지역</t>
        </is>
      </c>
      <c r="I10859" s="3" t="inlineStr">
        <is>
          <t>대</t>
        </is>
      </c>
      <c r="J10859" s="3" t="inlineStr">
        <is>
          <t>전의면</t>
        </is>
      </c>
    </row>
    <row r="10860">
      <c r="A10860" s="3" t="n">
        <v>2022</v>
      </c>
      <c r="B10860" s="4" t="n">
        <v>57300</v>
      </c>
      <c r="C10860" s="4" t="n">
        <v>1896</v>
      </c>
      <c r="D10860" s="4" t="n">
        <v>573.54</v>
      </c>
      <c r="E10860" s="5" t="n">
        <v>99.90000000000001</v>
      </c>
      <c r="F10860" s="3" t="inlineStr">
        <is>
          <t>전동면</t>
        </is>
      </c>
      <c r="G10860" s="3" t="inlineStr">
        <is>
          <t>보덕리</t>
        </is>
      </c>
      <c r="H10860" s="3" t="inlineStr">
        <is>
          <t>계획관리지역</t>
        </is>
      </c>
      <c r="I10860" s="3" t="inlineStr">
        <is>
          <t>전</t>
        </is>
      </c>
      <c r="J10860" s="3" t="inlineStr">
        <is>
          <t>전동면</t>
        </is>
      </c>
    </row>
    <row r="10861">
      <c r="A10861" s="3" t="n">
        <v>2022</v>
      </c>
      <c r="B10861" s="4" t="n">
        <v>32140</v>
      </c>
      <c r="C10861" s="4" t="n">
        <v>1250</v>
      </c>
      <c r="D10861" s="4" t="n">
        <v>378.125</v>
      </c>
      <c r="E10861" s="5" t="n">
        <v>85</v>
      </c>
      <c r="F10861" s="3" t="inlineStr">
        <is>
          <t>소정면</t>
        </is>
      </c>
      <c r="G10861" s="3" t="inlineStr">
        <is>
          <t>대곡리</t>
        </is>
      </c>
      <c r="H10861" s="3" t="inlineStr">
        <is>
          <t>계획관리지역</t>
        </is>
      </c>
      <c r="I10861" s="3" t="inlineStr">
        <is>
          <t>답</t>
        </is>
      </c>
      <c r="J10861" s="3" t="inlineStr">
        <is>
          <t>소정면</t>
        </is>
      </c>
    </row>
    <row r="10862">
      <c r="A10862" s="3" t="n">
        <v>2022</v>
      </c>
      <c r="B10862" s="4" t="n">
        <v>11000</v>
      </c>
      <c r="C10862" s="4" t="n">
        <v>326</v>
      </c>
      <c r="D10862" s="4" t="n">
        <v>98.61499999999999</v>
      </c>
      <c r="E10862" s="5" t="n">
        <v>111.5</v>
      </c>
      <c r="F10862" s="3" t="inlineStr">
        <is>
          <t>전의면</t>
        </is>
      </c>
      <c r="G10862" s="3" t="inlineStr">
        <is>
          <t>관정리</t>
        </is>
      </c>
      <c r="H10862" s="3" t="inlineStr">
        <is>
          <t>계획관리지역</t>
        </is>
      </c>
      <c r="I10862" s="3" t="inlineStr">
        <is>
          <t>전</t>
        </is>
      </c>
      <c r="J10862" s="3" t="inlineStr">
        <is>
          <t>전의면</t>
        </is>
      </c>
    </row>
    <row r="10863">
      <c r="A10863" s="3" t="n">
        <v>2022</v>
      </c>
      <c r="B10863" s="4" t="n">
        <v>5000</v>
      </c>
      <c r="C10863" s="4" t="n">
        <v>488</v>
      </c>
      <c r="D10863" s="4" t="n">
        <v>147.62</v>
      </c>
      <c r="E10863" s="5" t="n">
        <v>33.9</v>
      </c>
      <c r="F10863" s="3" t="inlineStr">
        <is>
          <t>전의면</t>
        </is>
      </c>
      <c r="G10863" s="3" t="inlineStr">
        <is>
          <t>관정리</t>
        </is>
      </c>
      <c r="H10863" s="3" t="inlineStr">
        <is>
          <t>계획관리지역</t>
        </is>
      </c>
      <c r="I10863" s="3" t="inlineStr">
        <is>
          <t>임야</t>
        </is>
      </c>
      <c r="J10863" s="3" t="inlineStr">
        <is>
          <t>전의면</t>
        </is>
      </c>
    </row>
    <row r="10864">
      <c r="A10864" s="3" t="n">
        <v>2022</v>
      </c>
      <c r="B10864" s="4" t="n">
        <v>1200</v>
      </c>
      <c r="C10864" s="4" t="n">
        <v>580</v>
      </c>
      <c r="D10864" s="4" t="n">
        <v>175.45</v>
      </c>
      <c r="E10864" s="5" t="n">
        <v>6.8</v>
      </c>
      <c r="F10864" s="3" t="inlineStr">
        <is>
          <t>전의면</t>
        </is>
      </c>
      <c r="G10864" s="3" t="inlineStr">
        <is>
          <t>달전리</t>
        </is>
      </c>
      <c r="H10864" s="3" t="inlineStr">
        <is>
          <t>생산관리지역</t>
        </is>
      </c>
      <c r="I10864" s="3" t="inlineStr">
        <is>
          <t>전</t>
        </is>
      </c>
      <c r="J10864" s="3" t="inlineStr">
        <is>
          <t>전의면</t>
        </is>
      </c>
    </row>
    <row r="10865">
      <c r="A10865" s="3" t="n">
        <v>2022</v>
      </c>
      <c r="B10865" s="4" t="n">
        <v>76890</v>
      </c>
      <c r="C10865" s="4" t="n">
        <v>2311</v>
      </c>
      <c r="D10865" s="4" t="n">
        <v>699.0775</v>
      </c>
      <c r="E10865" s="5" t="n">
        <v>110</v>
      </c>
      <c r="F10865" s="3" t="inlineStr">
        <is>
          <t>장군면</t>
        </is>
      </c>
      <c r="G10865" s="3" t="inlineStr">
        <is>
          <t>평기리</t>
        </is>
      </c>
      <c r="H10865" s="3" t="inlineStr">
        <is>
          <t>보전관리지역</t>
        </is>
      </c>
      <c r="I10865" s="3" t="inlineStr">
        <is>
          <t>임야</t>
        </is>
      </c>
      <c r="J10865" s="3" t="inlineStr">
        <is>
          <t>장군면</t>
        </is>
      </c>
    </row>
    <row r="10866">
      <c r="A10866" s="3" t="n">
        <v>2022</v>
      </c>
      <c r="B10866" s="4" t="n">
        <v>14200</v>
      </c>
      <c r="C10866" s="4" t="n">
        <v>1640</v>
      </c>
      <c r="D10866" s="4" t="n">
        <v>496.1</v>
      </c>
      <c r="E10866" s="5" t="n">
        <v>28.6</v>
      </c>
      <c r="F10866" s="3" t="inlineStr">
        <is>
          <t>전동면</t>
        </is>
      </c>
      <c r="G10866" s="3" t="inlineStr">
        <is>
          <t>미곡리</t>
        </is>
      </c>
      <c r="H10866" s="3" t="inlineStr">
        <is>
          <t>생산관리지역</t>
        </is>
      </c>
      <c r="I10866" s="3" t="inlineStr">
        <is>
          <t>전</t>
        </is>
      </c>
      <c r="J10866" s="3" t="inlineStr">
        <is>
          <t>전동면</t>
        </is>
      </c>
    </row>
    <row r="10867">
      <c r="A10867" s="3" t="n">
        <v>2022</v>
      </c>
      <c r="B10867" s="4" t="n">
        <v>13000</v>
      </c>
      <c r="C10867" s="4" t="n">
        <v>932</v>
      </c>
      <c r="D10867" s="4" t="n">
        <v>281.93</v>
      </c>
      <c r="E10867" s="5" t="n">
        <v>46.1</v>
      </c>
      <c r="F10867" s="3" t="inlineStr">
        <is>
          <t>연동면</t>
        </is>
      </c>
      <c r="G10867" s="3" t="inlineStr">
        <is>
          <t>내판리</t>
        </is>
      </c>
      <c r="H10867" s="3" t="inlineStr">
        <is>
          <t>계획관리지역</t>
        </is>
      </c>
      <c r="I10867" s="3" t="inlineStr">
        <is>
          <t>전</t>
        </is>
      </c>
      <c r="J10867" s="3" t="inlineStr">
        <is>
          <t>연동면</t>
        </is>
      </c>
    </row>
    <row r="10868">
      <c r="A10868" s="3" t="n">
        <v>2022</v>
      </c>
      <c r="B10868" s="4" t="n">
        <v>32550</v>
      </c>
      <c r="C10868" s="4" t="n">
        <v>538</v>
      </c>
      <c r="D10868" s="4" t="n">
        <v>162.745</v>
      </c>
      <c r="E10868" s="5" t="n">
        <v>200</v>
      </c>
      <c r="F10868" s="3" t="inlineStr">
        <is>
          <t>연서면</t>
        </is>
      </c>
      <c r="G10868" s="3" t="inlineStr">
        <is>
          <t>국촌리</t>
        </is>
      </c>
      <c r="H10868" s="3" t="inlineStr">
        <is>
          <t>계획관리지역</t>
        </is>
      </c>
      <c r="I10868" s="3" t="inlineStr">
        <is>
          <t>답</t>
        </is>
      </c>
      <c r="J10868" s="3" t="inlineStr">
        <is>
          <t>연서면</t>
        </is>
      </c>
    </row>
    <row r="10869">
      <c r="A10869" s="3" t="n">
        <v>2022</v>
      </c>
      <c r="B10869" s="4" t="n">
        <v>2400</v>
      </c>
      <c r="C10869" s="4" t="n">
        <v>200</v>
      </c>
      <c r="D10869" s="4" t="n">
        <v>60.5</v>
      </c>
      <c r="E10869" s="5" t="n">
        <v>39.7</v>
      </c>
      <c r="F10869" s="3" t="inlineStr">
        <is>
          <t>연서면</t>
        </is>
      </c>
      <c r="G10869" s="3" t="inlineStr">
        <is>
          <t>기룡리</t>
        </is>
      </c>
      <c r="H10869" s="3" t="inlineStr">
        <is>
          <t>생산관리지역</t>
        </is>
      </c>
      <c r="I10869" s="3" t="inlineStr">
        <is>
          <t>전</t>
        </is>
      </c>
      <c r="J10869" s="3" t="inlineStr">
        <is>
          <t>연서면</t>
        </is>
      </c>
    </row>
    <row r="10870">
      <c r="A10870" s="3" t="n">
        <v>2022</v>
      </c>
      <c r="B10870" s="4" t="n">
        <v>181742</v>
      </c>
      <c r="C10870" s="4" t="n">
        <v>3004</v>
      </c>
      <c r="D10870" s="4" t="n">
        <v>908.7099999999999</v>
      </c>
      <c r="E10870" s="5" t="n">
        <v>200</v>
      </c>
      <c r="F10870" s="3" t="inlineStr">
        <is>
          <t>연서면</t>
        </is>
      </c>
      <c r="G10870" s="3" t="inlineStr">
        <is>
          <t>국촌리</t>
        </is>
      </c>
      <c r="H10870" s="3" t="inlineStr">
        <is>
          <t>계획관리지역</t>
        </is>
      </c>
      <c r="I10870" s="3" t="inlineStr">
        <is>
          <t>답</t>
        </is>
      </c>
      <c r="J10870" s="3" t="inlineStr">
        <is>
          <t>연서면</t>
        </is>
      </c>
    </row>
    <row r="10871">
      <c r="A10871" s="3" t="n">
        <v>2023</v>
      </c>
      <c r="B10871" s="4" t="n">
        <v>35040</v>
      </c>
      <c r="C10871" s="4" t="n">
        <v>3620</v>
      </c>
      <c r="D10871" s="4" t="n">
        <v>1095.05</v>
      </c>
      <c r="E10871" s="5" t="n">
        <v>32</v>
      </c>
      <c r="F10871" s="3" t="inlineStr">
        <is>
          <t>금남면</t>
        </is>
      </c>
      <c r="G10871" s="3" t="inlineStr">
        <is>
          <t>성강리</t>
        </is>
      </c>
      <c r="H10871" s="3" t="inlineStr">
        <is>
          <t>보전관리지역</t>
        </is>
      </c>
      <c r="I10871" s="3" t="inlineStr">
        <is>
          <t>전</t>
        </is>
      </c>
      <c r="J10871" s="3" t="inlineStr">
        <is>
          <t>금남면</t>
        </is>
      </c>
    </row>
    <row r="10872">
      <c r="A10872" s="3" t="n">
        <v>2023</v>
      </c>
      <c r="B10872" s="4" t="n">
        <v>12000</v>
      </c>
      <c r="C10872" s="4" t="n">
        <v>1240</v>
      </c>
      <c r="D10872" s="4" t="n">
        <v>375.1</v>
      </c>
      <c r="E10872" s="5" t="n">
        <v>32</v>
      </c>
      <c r="F10872" s="3" t="inlineStr">
        <is>
          <t>금남면</t>
        </is>
      </c>
      <c r="G10872" s="3" t="inlineStr">
        <is>
          <t>성강리</t>
        </is>
      </c>
      <c r="H10872" s="3" t="inlineStr">
        <is>
          <t>보전관리지역</t>
        </is>
      </c>
      <c r="I10872" s="3" t="inlineStr">
        <is>
          <t>전</t>
        </is>
      </c>
      <c r="J10872" s="3" t="inlineStr">
        <is>
          <t>금남면</t>
        </is>
      </c>
    </row>
    <row r="10873">
      <c r="A10873" s="3" t="n">
        <v>2023</v>
      </c>
      <c r="B10873" s="4" t="n">
        <v>1800</v>
      </c>
      <c r="C10873" s="4" t="n">
        <v>19</v>
      </c>
      <c r="D10873" s="4" t="n">
        <v>5.7475</v>
      </c>
      <c r="E10873" s="5" t="n">
        <v>313.2</v>
      </c>
      <c r="F10873" s="3" t="inlineStr">
        <is>
          <t>장군면</t>
        </is>
      </c>
      <c r="G10873" s="3" t="inlineStr">
        <is>
          <t>평기리</t>
        </is>
      </c>
      <c r="H10873" s="3" t="inlineStr">
        <is>
          <t>계획관리지역</t>
        </is>
      </c>
      <c r="I10873" s="3" t="inlineStr">
        <is>
          <t>전</t>
        </is>
      </c>
      <c r="J10873" s="3" t="inlineStr">
        <is>
          <t>장군면</t>
        </is>
      </c>
    </row>
    <row r="10874">
      <c r="A10874" s="3" t="n">
        <v>2023</v>
      </c>
      <c r="B10874" s="4" t="n">
        <v>58000</v>
      </c>
      <c r="C10874" s="4" t="n">
        <v>338</v>
      </c>
      <c r="D10874" s="4" t="n">
        <v>102.245</v>
      </c>
      <c r="E10874" s="5" t="n">
        <v>567.3</v>
      </c>
      <c r="F10874" s="3" t="inlineStr">
        <is>
          <t>고운동</t>
        </is>
      </c>
      <c r="G10874" s="3" t="inlineStr"/>
      <c r="H10874" s="3" t="inlineStr">
        <is>
          <t>제1종전용주거지역</t>
        </is>
      </c>
      <c r="I10874" s="3" t="inlineStr">
        <is>
          <t>대</t>
        </is>
      </c>
      <c r="J10874" s="3" t="inlineStr">
        <is>
          <t>고운동</t>
        </is>
      </c>
    </row>
    <row r="10875">
      <c r="A10875" s="3" t="n">
        <v>2023</v>
      </c>
      <c r="B10875" s="4" t="n">
        <v>21288</v>
      </c>
      <c r="C10875" s="4" t="n">
        <v>539</v>
      </c>
      <c r="D10875" s="4" t="n">
        <v>163.0475</v>
      </c>
      <c r="E10875" s="5" t="n">
        <v>130.6</v>
      </c>
      <c r="F10875" s="3" t="inlineStr">
        <is>
          <t>전동면</t>
        </is>
      </c>
      <c r="G10875" s="3" t="inlineStr">
        <is>
          <t>보덕리</t>
        </is>
      </c>
      <c r="H10875" s="3" t="inlineStr">
        <is>
          <t>보전관리지역</t>
        </is>
      </c>
      <c r="I10875" s="3" t="inlineStr">
        <is>
          <t>전</t>
        </is>
      </c>
      <c r="J10875" s="3" t="inlineStr">
        <is>
          <t>전동면</t>
        </is>
      </c>
    </row>
    <row r="10876">
      <c r="A10876" s="3" t="n">
        <v>2023</v>
      </c>
      <c r="B10876" s="4" t="n">
        <v>21571</v>
      </c>
      <c r="C10876" s="4" t="n">
        <v>592</v>
      </c>
      <c r="D10876" s="4" t="n">
        <v>179.08</v>
      </c>
      <c r="E10876" s="5" t="n">
        <v>120.5</v>
      </c>
      <c r="F10876" s="3" t="inlineStr">
        <is>
          <t>전동면</t>
        </is>
      </c>
      <c r="G10876" s="3" t="inlineStr">
        <is>
          <t>보덕리</t>
        </is>
      </c>
      <c r="H10876" s="3" t="inlineStr">
        <is>
          <t>계획관리지역</t>
        </is>
      </c>
      <c r="I10876" s="3" t="inlineStr">
        <is>
          <t>전</t>
        </is>
      </c>
      <c r="J10876" s="3" t="inlineStr">
        <is>
          <t>전동면</t>
        </is>
      </c>
    </row>
    <row r="10877">
      <c r="A10877" s="3" t="n">
        <v>2023</v>
      </c>
      <c r="B10877" s="4" t="n">
        <v>46100</v>
      </c>
      <c r="C10877" s="4" t="n">
        <v>503</v>
      </c>
      <c r="D10877" s="4" t="n">
        <v>152.1575</v>
      </c>
      <c r="E10877" s="5" t="n">
        <v>303</v>
      </c>
      <c r="F10877" s="3" t="inlineStr">
        <is>
          <t>연서면</t>
        </is>
      </c>
      <c r="G10877" s="3" t="inlineStr">
        <is>
          <t>기룡리</t>
        </is>
      </c>
      <c r="H10877" s="3" t="inlineStr">
        <is>
          <t>계획관리지역</t>
        </is>
      </c>
      <c r="I10877" s="3" t="inlineStr">
        <is>
          <t>양어장</t>
        </is>
      </c>
      <c r="J10877" s="3" t="inlineStr">
        <is>
          <t>연서면</t>
        </is>
      </c>
    </row>
    <row r="10878">
      <c r="A10878" s="3" t="n">
        <v>2023</v>
      </c>
      <c r="B10878" s="4" t="n">
        <v>39400</v>
      </c>
      <c r="C10878" s="4" t="n">
        <v>430</v>
      </c>
      <c r="D10878" s="4" t="n">
        <v>130.075</v>
      </c>
      <c r="E10878" s="5" t="n">
        <v>302.9</v>
      </c>
      <c r="F10878" s="3" t="inlineStr">
        <is>
          <t>연서면</t>
        </is>
      </c>
      <c r="G10878" s="3" t="inlineStr">
        <is>
          <t>기룡리</t>
        </is>
      </c>
      <c r="H10878" s="3" t="inlineStr">
        <is>
          <t>계획관리지역</t>
        </is>
      </c>
      <c r="I10878" s="3" t="inlineStr">
        <is>
          <t>양어장</t>
        </is>
      </c>
      <c r="J10878" s="3" t="inlineStr">
        <is>
          <t>연서면</t>
        </is>
      </c>
    </row>
    <row r="10879">
      <c r="A10879" s="3" t="n">
        <v>2023</v>
      </c>
      <c r="B10879" s="4" t="n">
        <v>21565</v>
      </c>
      <c r="C10879" s="4" t="n">
        <v>590</v>
      </c>
      <c r="D10879" s="4" t="n">
        <v>178.475</v>
      </c>
      <c r="E10879" s="5" t="n">
        <v>120.8</v>
      </c>
      <c r="F10879" s="3" t="inlineStr">
        <is>
          <t>전동면</t>
        </is>
      </c>
      <c r="G10879" s="3" t="inlineStr">
        <is>
          <t>보덕리</t>
        </is>
      </c>
      <c r="H10879" s="3" t="inlineStr">
        <is>
          <t>보전관리지역</t>
        </is>
      </c>
      <c r="I10879" s="3" t="inlineStr">
        <is>
          <t>전</t>
        </is>
      </c>
      <c r="J10879" s="3" t="inlineStr">
        <is>
          <t>전동면</t>
        </is>
      </c>
    </row>
    <row r="10880">
      <c r="A10880" s="3" t="n">
        <v>2023</v>
      </c>
      <c r="B10880" s="4" t="n">
        <v>12000</v>
      </c>
      <c r="C10880" s="4" t="n">
        <v>433</v>
      </c>
      <c r="D10880" s="4" t="n">
        <v>130.9825</v>
      </c>
      <c r="E10880" s="5" t="n">
        <v>91.59999999999999</v>
      </c>
      <c r="F10880" s="3" t="inlineStr">
        <is>
          <t>조치원읍</t>
        </is>
      </c>
      <c r="G10880" s="3" t="inlineStr">
        <is>
          <t>봉산리</t>
        </is>
      </c>
      <c r="H10880" s="3" t="inlineStr">
        <is>
          <t>계획관리지역</t>
        </is>
      </c>
      <c r="I10880" s="3" t="inlineStr">
        <is>
          <t>전</t>
        </is>
      </c>
      <c r="J10880" s="3" t="inlineStr">
        <is>
          <t>조치원읍</t>
        </is>
      </c>
    </row>
    <row r="10881">
      <c r="A10881" s="3" t="n">
        <v>2023</v>
      </c>
      <c r="B10881" s="4" t="n">
        <v>4917</v>
      </c>
      <c r="C10881" s="4" t="n">
        <v>647</v>
      </c>
      <c r="D10881" s="4" t="n">
        <v>195.7175</v>
      </c>
      <c r="E10881" s="5" t="n">
        <v>25.1</v>
      </c>
      <c r="F10881" s="3" t="inlineStr">
        <is>
          <t>소정면</t>
        </is>
      </c>
      <c r="G10881" s="3" t="inlineStr">
        <is>
          <t>대곡리</t>
        </is>
      </c>
      <c r="H10881" s="3" t="inlineStr">
        <is>
          <t>농림지역</t>
        </is>
      </c>
      <c r="I10881" s="3" t="inlineStr">
        <is>
          <t>답</t>
        </is>
      </c>
      <c r="J10881" s="3" t="inlineStr">
        <is>
          <t>소정면</t>
        </is>
      </c>
    </row>
    <row r="10882">
      <c r="A10882" s="3" t="n">
        <v>2023</v>
      </c>
      <c r="B10882" s="4" t="n">
        <v>9173</v>
      </c>
      <c r="C10882" s="4" t="n">
        <v>1207</v>
      </c>
      <c r="D10882" s="4" t="n">
        <v>365.1175</v>
      </c>
      <c r="E10882" s="5" t="n">
        <v>25.1</v>
      </c>
      <c r="F10882" s="3" t="inlineStr">
        <is>
          <t>소정면</t>
        </is>
      </c>
      <c r="G10882" s="3" t="inlineStr">
        <is>
          <t>대곡리</t>
        </is>
      </c>
      <c r="H10882" s="3" t="inlineStr">
        <is>
          <t>농림지역</t>
        </is>
      </c>
      <c r="I10882" s="3" t="inlineStr">
        <is>
          <t>답</t>
        </is>
      </c>
      <c r="J10882" s="3" t="inlineStr">
        <is>
          <t>소정면</t>
        </is>
      </c>
    </row>
    <row r="10883">
      <c r="A10883" s="3" t="n">
        <v>2023</v>
      </c>
      <c r="B10883" s="4" t="n">
        <v>1500</v>
      </c>
      <c r="C10883" s="4" t="n">
        <v>13</v>
      </c>
      <c r="D10883" s="4" t="n">
        <v>3.9325</v>
      </c>
      <c r="E10883" s="5" t="n">
        <v>381.4</v>
      </c>
      <c r="F10883" s="3" t="inlineStr">
        <is>
          <t>조치원읍</t>
        </is>
      </c>
      <c r="G10883" s="3" t="inlineStr">
        <is>
          <t>신안리</t>
        </is>
      </c>
      <c r="H10883" s="3" t="inlineStr">
        <is>
          <t>자연녹지지역</t>
        </is>
      </c>
      <c r="I10883" s="3" t="inlineStr">
        <is>
          <t>대</t>
        </is>
      </c>
      <c r="J10883" s="3" t="inlineStr">
        <is>
          <t>조치원읍</t>
        </is>
      </c>
    </row>
    <row r="10884">
      <c r="A10884" s="3" t="n">
        <v>2023</v>
      </c>
      <c r="B10884" s="4" t="n">
        <v>500</v>
      </c>
      <c r="C10884" s="4" t="n">
        <v>159</v>
      </c>
      <c r="D10884" s="4" t="n">
        <v>48.0975</v>
      </c>
      <c r="E10884" s="5" t="n">
        <v>10.4</v>
      </c>
      <c r="F10884" s="3" t="inlineStr">
        <is>
          <t>전의면</t>
        </is>
      </c>
      <c r="G10884" s="3" t="inlineStr">
        <is>
          <t>양곡리</t>
        </is>
      </c>
      <c r="H10884" s="3" t="inlineStr">
        <is>
          <t>생산관리지역</t>
        </is>
      </c>
      <c r="I10884" s="3" t="inlineStr">
        <is>
          <t>전</t>
        </is>
      </c>
      <c r="J10884" s="3" t="inlineStr">
        <is>
          <t>전의면</t>
        </is>
      </c>
    </row>
    <row r="10885">
      <c r="A10885" s="3" t="n">
        <v>2023</v>
      </c>
      <c r="B10885" s="4" t="n">
        <v>4000</v>
      </c>
      <c r="C10885" s="4" t="n">
        <v>666</v>
      </c>
      <c r="D10885" s="4" t="n">
        <v>201.465</v>
      </c>
      <c r="E10885" s="5" t="n">
        <v>19.9</v>
      </c>
      <c r="F10885" s="3" t="inlineStr">
        <is>
          <t>전의면</t>
        </is>
      </c>
      <c r="G10885" s="3" t="inlineStr">
        <is>
          <t>양곡리</t>
        </is>
      </c>
      <c r="H10885" s="3" t="inlineStr">
        <is>
          <t>계획관리지역</t>
        </is>
      </c>
      <c r="I10885" s="3" t="inlineStr">
        <is>
          <t>전</t>
        </is>
      </c>
      <c r="J10885" s="3" t="inlineStr">
        <is>
          <t>전의면</t>
        </is>
      </c>
    </row>
    <row r="10886">
      <c r="A10886" s="3" t="n">
        <v>2023</v>
      </c>
      <c r="B10886" s="4" t="n">
        <v>18400</v>
      </c>
      <c r="C10886" s="4" t="n">
        <v>4056</v>
      </c>
      <c r="D10886" s="4" t="n">
        <v>1226.94</v>
      </c>
      <c r="E10886" s="5" t="n">
        <v>15</v>
      </c>
      <c r="F10886" s="3" t="inlineStr">
        <is>
          <t>전동면</t>
        </is>
      </c>
      <c r="G10886" s="3" t="inlineStr">
        <is>
          <t>노장리</t>
        </is>
      </c>
      <c r="H10886" s="3" t="inlineStr">
        <is>
          <t>계획관리지역</t>
        </is>
      </c>
      <c r="I10886" s="3" t="inlineStr">
        <is>
          <t>답</t>
        </is>
      </c>
      <c r="J10886" s="3" t="inlineStr">
        <is>
          <t>전동면</t>
        </is>
      </c>
    </row>
    <row r="10887">
      <c r="A10887" s="3" t="n">
        <v>2023</v>
      </c>
      <c r="B10887" s="4" t="n">
        <v>21000</v>
      </c>
      <c r="C10887" s="4" t="n">
        <v>839</v>
      </c>
      <c r="D10887" s="4" t="n">
        <v>253.7975</v>
      </c>
      <c r="E10887" s="5" t="n">
        <v>82.7</v>
      </c>
      <c r="F10887" s="3" t="inlineStr">
        <is>
          <t>전의면</t>
        </is>
      </c>
      <c r="G10887" s="3" t="inlineStr">
        <is>
          <t>서정리</t>
        </is>
      </c>
      <c r="H10887" s="3" t="inlineStr">
        <is>
          <t>계획관리지역</t>
        </is>
      </c>
      <c r="I10887" s="3" t="inlineStr">
        <is>
          <t>답</t>
        </is>
      </c>
      <c r="J10887" s="3" t="inlineStr">
        <is>
          <t>전의면</t>
        </is>
      </c>
    </row>
    <row r="10888">
      <c r="A10888" s="3" t="n">
        <v>2023</v>
      </c>
      <c r="B10888" s="4" t="n">
        <v>95000</v>
      </c>
      <c r="C10888" s="4" t="n">
        <v>3657</v>
      </c>
      <c r="D10888" s="4" t="n">
        <v>1106.2425</v>
      </c>
      <c r="E10888" s="5" t="n">
        <v>85.90000000000001</v>
      </c>
      <c r="F10888" s="3" t="inlineStr">
        <is>
          <t>전동면</t>
        </is>
      </c>
      <c r="G10888" s="3" t="inlineStr">
        <is>
          <t>송곡리</t>
        </is>
      </c>
      <c r="H10888" s="3" t="inlineStr">
        <is>
          <t>생산관리지역</t>
        </is>
      </c>
      <c r="I10888" s="3" t="inlineStr">
        <is>
          <t>답</t>
        </is>
      </c>
      <c r="J10888" s="3" t="inlineStr">
        <is>
          <t>전동면</t>
        </is>
      </c>
    </row>
    <row r="10889">
      <c r="A10889" s="3" t="n">
        <v>2023</v>
      </c>
      <c r="B10889" s="4" t="n">
        <v>60000</v>
      </c>
      <c r="C10889" s="4" t="n">
        <v>4096</v>
      </c>
      <c r="D10889" s="4" t="n">
        <v>1239.04</v>
      </c>
      <c r="E10889" s="5" t="n">
        <v>48.4</v>
      </c>
      <c r="F10889" s="3" t="inlineStr">
        <is>
          <t>금남면</t>
        </is>
      </c>
      <c r="G10889" s="3" t="inlineStr">
        <is>
          <t>두만리</t>
        </is>
      </c>
      <c r="H10889" s="3" t="inlineStr">
        <is>
          <t>개발제한구역</t>
        </is>
      </c>
      <c r="I10889" s="3" t="inlineStr">
        <is>
          <t>전</t>
        </is>
      </c>
      <c r="J10889" s="3" t="inlineStr">
        <is>
          <t>금남면</t>
        </is>
      </c>
    </row>
    <row r="10890">
      <c r="A10890" s="3" t="n">
        <v>2023</v>
      </c>
      <c r="B10890" s="4" t="n">
        <v>5000</v>
      </c>
      <c r="C10890" s="4" t="n">
        <v>1473</v>
      </c>
      <c r="D10890" s="4" t="n">
        <v>445.5825</v>
      </c>
      <c r="E10890" s="5" t="n">
        <v>11.2</v>
      </c>
      <c r="F10890" s="3" t="inlineStr">
        <is>
          <t>금남면</t>
        </is>
      </c>
      <c r="G10890" s="3" t="inlineStr">
        <is>
          <t>두만리</t>
        </is>
      </c>
      <c r="H10890" s="3" t="inlineStr">
        <is>
          <t>개발제한구역</t>
        </is>
      </c>
      <c r="I10890" s="3" t="inlineStr">
        <is>
          <t>임야</t>
        </is>
      </c>
      <c r="J10890" s="3" t="inlineStr">
        <is>
          <t>금남면</t>
        </is>
      </c>
    </row>
    <row r="10891">
      <c r="A10891" s="3" t="n">
        <v>2023</v>
      </c>
      <c r="B10891" s="4" t="n">
        <v>29661</v>
      </c>
      <c r="C10891" s="4" t="n">
        <v>598</v>
      </c>
      <c r="D10891" s="4" t="n">
        <v>180.895</v>
      </c>
      <c r="E10891" s="5" t="n">
        <v>164</v>
      </c>
      <c r="F10891" s="3" t="inlineStr">
        <is>
          <t>연동면</t>
        </is>
      </c>
      <c r="G10891" s="3" t="inlineStr">
        <is>
          <t>명학리</t>
        </is>
      </c>
      <c r="H10891" s="3" t="inlineStr">
        <is>
          <t>계획관리지역</t>
        </is>
      </c>
      <c r="I10891" s="3" t="inlineStr">
        <is>
          <t>공장용지</t>
        </is>
      </c>
      <c r="J10891" s="3" t="inlineStr">
        <is>
          <t>연동면</t>
        </is>
      </c>
    </row>
    <row r="10892">
      <c r="A10892" s="3" t="n">
        <v>2023</v>
      </c>
      <c r="B10892" s="4" t="n">
        <v>25792</v>
      </c>
      <c r="C10892" s="4" t="n">
        <v>520</v>
      </c>
      <c r="D10892" s="4" t="n">
        <v>157.3</v>
      </c>
      <c r="E10892" s="5" t="n">
        <v>164</v>
      </c>
      <c r="F10892" s="3" t="inlineStr">
        <is>
          <t>연동면</t>
        </is>
      </c>
      <c r="G10892" s="3" t="inlineStr">
        <is>
          <t>명학리</t>
        </is>
      </c>
      <c r="H10892" s="3" t="inlineStr">
        <is>
          <t>계획관리지역</t>
        </is>
      </c>
      <c r="I10892" s="3" t="inlineStr">
        <is>
          <t>공장용지</t>
        </is>
      </c>
      <c r="J10892" s="3" t="inlineStr">
        <is>
          <t>연동면</t>
        </is>
      </c>
    </row>
    <row r="10893">
      <c r="A10893" s="3" t="n">
        <v>2023</v>
      </c>
      <c r="B10893" s="4" t="n">
        <v>2856</v>
      </c>
      <c r="C10893" s="4" t="n">
        <v>336</v>
      </c>
      <c r="D10893" s="4" t="n">
        <v>101.64</v>
      </c>
      <c r="E10893" s="5" t="n">
        <v>28.1</v>
      </c>
      <c r="F10893" s="3" t="inlineStr">
        <is>
          <t>부강면</t>
        </is>
      </c>
      <c r="G10893" s="3" t="inlineStr">
        <is>
          <t>등곡리</t>
        </is>
      </c>
      <c r="H10893" s="3" t="inlineStr">
        <is>
          <t>생산관리지역</t>
        </is>
      </c>
      <c r="I10893" s="3" t="inlineStr">
        <is>
          <t>전</t>
        </is>
      </c>
      <c r="J10893" s="3" t="inlineStr">
        <is>
          <t>부강면</t>
        </is>
      </c>
    </row>
    <row r="10894">
      <c r="A10894" s="3" t="n">
        <v>2023</v>
      </c>
      <c r="B10894" s="4" t="n">
        <v>8926</v>
      </c>
      <c r="C10894" s="4" t="n">
        <v>282</v>
      </c>
      <c r="D10894" s="4" t="n">
        <v>85.30499999999999</v>
      </c>
      <c r="E10894" s="5" t="n">
        <v>104.6</v>
      </c>
      <c r="F10894" s="3" t="inlineStr">
        <is>
          <t>연기면</t>
        </is>
      </c>
      <c r="G10894" s="3" t="inlineStr">
        <is>
          <t>수산리</t>
        </is>
      </c>
      <c r="H10894" s="3" t="inlineStr">
        <is>
          <t>보전관리지역</t>
        </is>
      </c>
      <c r="I10894" s="3" t="inlineStr">
        <is>
          <t>임야</t>
        </is>
      </c>
      <c r="J10894" s="3" t="inlineStr">
        <is>
          <t>연기면</t>
        </is>
      </c>
    </row>
    <row r="10895">
      <c r="A10895" s="3" t="n">
        <v>2023</v>
      </c>
      <c r="B10895" s="4" t="n">
        <v>7660</v>
      </c>
      <c r="C10895" s="4" t="n">
        <v>242</v>
      </c>
      <c r="D10895" s="4" t="n">
        <v>73.205</v>
      </c>
      <c r="E10895" s="5" t="n">
        <v>104.6</v>
      </c>
      <c r="F10895" s="3" t="inlineStr">
        <is>
          <t>연기면</t>
        </is>
      </c>
      <c r="G10895" s="3" t="inlineStr">
        <is>
          <t>수산리</t>
        </is>
      </c>
      <c r="H10895" s="3" t="inlineStr">
        <is>
          <t>보전관리지역</t>
        </is>
      </c>
      <c r="I10895" s="3" t="inlineStr">
        <is>
          <t>임야</t>
        </is>
      </c>
      <c r="J10895" s="3" t="inlineStr">
        <is>
          <t>연기면</t>
        </is>
      </c>
    </row>
    <row r="10896">
      <c r="A10896" s="3" t="n">
        <v>2023</v>
      </c>
      <c r="B10896" s="4" t="n">
        <v>1614</v>
      </c>
      <c r="C10896" s="4" t="n">
        <v>51</v>
      </c>
      <c r="D10896" s="4" t="n">
        <v>15.4275</v>
      </c>
      <c r="E10896" s="5" t="n">
        <v>104.6</v>
      </c>
      <c r="F10896" s="3" t="inlineStr">
        <is>
          <t>연기면</t>
        </is>
      </c>
      <c r="G10896" s="3" t="inlineStr">
        <is>
          <t>수산리</t>
        </is>
      </c>
      <c r="H10896" s="3" t="inlineStr">
        <is>
          <t>보전관리지역</t>
        </is>
      </c>
      <c r="I10896" s="3" t="inlineStr">
        <is>
          <t>임야</t>
        </is>
      </c>
      <c r="J10896" s="3" t="inlineStr">
        <is>
          <t>연기면</t>
        </is>
      </c>
    </row>
    <row r="10897">
      <c r="A10897" s="3" t="n">
        <v>2023</v>
      </c>
      <c r="B10897" s="4" t="n">
        <v>25680</v>
      </c>
      <c r="C10897" s="4" t="n">
        <v>1416.2</v>
      </c>
      <c r="D10897" s="4" t="n">
        <v>428.4005</v>
      </c>
      <c r="E10897" s="5" t="n">
        <v>59.9</v>
      </c>
      <c r="F10897" s="3" t="inlineStr">
        <is>
          <t>연동면</t>
        </is>
      </c>
      <c r="G10897" s="3" t="inlineStr">
        <is>
          <t>예양리</t>
        </is>
      </c>
      <c r="H10897" s="3" t="inlineStr">
        <is>
          <t>농림지역</t>
        </is>
      </c>
      <c r="I10897" s="3" t="inlineStr">
        <is>
          <t>답</t>
        </is>
      </c>
      <c r="J10897" s="3" t="inlineStr">
        <is>
          <t>연동면</t>
        </is>
      </c>
    </row>
    <row r="10898">
      <c r="A10898" s="3" t="n">
        <v>2023</v>
      </c>
      <c r="B10898" s="4" t="n">
        <v>1200</v>
      </c>
      <c r="C10898" s="4" t="n">
        <v>291</v>
      </c>
      <c r="D10898" s="4" t="n">
        <v>88.0275</v>
      </c>
      <c r="E10898" s="5" t="n">
        <v>13.6</v>
      </c>
      <c r="F10898" s="3" t="inlineStr">
        <is>
          <t>부강면</t>
        </is>
      </c>
      <c r="G10898" s="3" t="inlineStr">
        <is>
          <t>노호리</t>
        </is>
      </c>
      <c r="H10898" s="3" t="inlineStr">
        <is>
          <t>보전관리지역</t>
        </is>
      </c>
      <c r="I10898" s="3" t="inlineStr">
        <is>
          <t>전</t>
        </is>
      </c>
      <c r="J10898" s="3" t="inlineStr">
        <is>
          <t>부강면</t>
        </is>
      </c>
    </row>
    <row r="10899">
      <c r="A10899" s="3" t="n">
        <v>2023</v>
      </c>
      <c r="B10899" s="4" t="n">
        <v>11435</v>
      </c>
      <c r="C10899" s="4" t="n">
        <v>315</v>
      </c>
      <c r="D10899" s="4" t="n">
        <v>95.28749999999999</v>
      </c>
      <c r="E10899" s="5" t="n">
        <v>120</v>
      </c>
      <c r="F10899" s="3" t="inlineStr">
        <is>
          <t>장군면</t>
        </is>
      </c>
      <c r="G10899" s="3" t="inlineStr">
        <is>
          <t>송문리</t>
        </is>
      </c>
      <c r="H10899" s="3" t="inlineStr">
        <is>
          <t>보전관리지역</t>
        </is>
      </c>
      <c r="I10899" s="3" t="inlineStr">
        <is>
          <t>임야</t>
        </is>
      </c>
      <c r="J10899" s="3" t="inlineStr">
        <is>
          <t>장군면</t>
        </is>
      </c>
    </row>
    <row r="10900">
      <c r="A10900" s="3" t="n">
        <v>2023</v>
      </c>
      <c r="B10900" s="4" t="n">
        <v>11326</v>
      </c>
      <c r="C10900" s="4" t="n">
        <v>312</v>
      </c>
      <c r="D10900" s="4" t="n">
        <v>94.38</v>
      </c>
      <c r="E10900" s="5" t="n">
        <v>120</v>
      </c>
      <c r="F10900" s="3" t="inlineStr">
        <is>
          <t>장군면</t>
        </is>
      </c>
      <c r="G10900" s="3" t="inlineStr">
        <is>
          <t>송문리</t>
        </is>
      </c>
      <c r="H10900" s="3" t="inlineStr">
        <is>
          <t>보전관리지역</t>
        </is>
      </c>
      <c r="I10900" s="3" t="inlineStr">
        <is>
          <t>임야</t>
        </is>
      </c>
      <c r="J10900" s="3" t="inlineStr">
        <is>
          <t>장군면</t>
        </is>
      </c>
    </row>
    <row r="10901">
      <c r="A10901" s="3" t="n">
        <v>2023</v>
      </c>
      <c r="B10901" s="4" t="n">
        <v>5000</v>
      </c>
      <c r="C10901" s="4" t="n">
        <v>463</v>
      </c>
      <c r="D10901" s="4" t="n">
        <v>140.0575</v>
      </c>
      <c r="E10901" s="5" t="n">
        <v>35.7</v>
      </c>
      <c r="F10901" s="3" t="inlineStr">
        <is>
          <t>전의면</t>
        </is>
      </c>
      <c r="G10901" s="3" t="inlineStr">
        <is>
          <t>다방리</t>
        </is>
      </c>
      <c r="H10901" s="3" t="inlineStr">
        <is>
          <t>계획관리지역</t>
        </is>
      </c>
      <c r="I10901" s="3" t="inlineStr">
        <is>
          <t>대</t>
        </is>
      </c>
      <c r="J10901" s="3" t="inlineStr">
        <is>
          <t>전의면</t>
        </is>
      </c>
    </row>
    <row r="10902">
      <c r="A10902" s="3" t="n">
        <v>2023</v>
      </c>
      <c r="B10902" s="4" t="n">
        <v>11180</v>
      </c>
      <c r="C10902" s="4" t="n">
        <v>308</v>
      </c>
      <c r="D10902" s="4" t="n">
        <v>93.17</v>
      </c>
      <c r="E10902" s="5" t="n">
        <v>120</v>
      </c>
      <c r="F10902" s="3" t="inlineStr">
        <is>
          <t>장군면</t>
        </is>
      </c>
      <c r="G10902" s="3" t="inlineStr">
        <is>
          <t>송문리</t>
        </is>
      </c>
      <c r="H10902" s="3" t="inlineStr">
        <is>
          <t>보전관리지역</t>
        </is>
      </c>
      <c r="I10902" s="3" t="inlineStr">
        <is>
          <t>임야</t>
        </is>
      </c>
      <c r="J10902" s="3" t="inlineStr">
        <is>
          <t>장군면</t>
        </is>
      </c>
    </row>
    <row r="10903">
      <c r="A10903" s="3" t="n">
        <v>2023</v>
      </c>
      <c r="B10903" s="4" t="n">
        <v>7000</v>
      </c>
      <c r="C10903" s="4" t="n">
        <v>333</v>
      </c>
      <c r="D10903" s="4" t="n">
        <v>100.7325</v>
      </c>
      <c r="E10903" s="5" t="n">
        <v>69.5</v>
      </c>
      <c r="F10903" s="3" t="inlineStr">
        <is>
          <t>금남면</t>
        </is>
      </c>
      <c r="G10903" s="3" t="inlineStr">
        <is>
          <t>영곡리</t>
        </is>
      </c>
      <c r="H10903" s="3" t="inlineStr">
        <is>
          <t>계획관리지역</t>
        </is>
      </c>
      <c r="I10903" s="3" t="inlineStr">
        <is>
          <t>답</t>
        </is>
      </c>
      <c r="J10903" s="3" t="inlineStr">
        <is>
          <t>금남면</t>
        </is>
      </c>
    </row>
    <row r="10904">
      <c r="A10904" s="3" t="n">
        <v>2023</v>
      </c>
      <c r="B10904" s="4" t="n">
        <v>3674</v>
      </c>
      <c r="C10904" s="4" t="n">
        <v>310</v>
      </c>
      <c r="D10904" s="4" t="n">
        <v>93.77499999999999</v>
      </c>
      <c r="E10904" s="5" t="n">
        <v>39.2</v>
      </c>
      <c r="F10904" s="3" t="inlineStr">
        <is>
          <t>전동면</t>
        </is>
      </c>
      <c r="G10904" s="3" t="inlineStr">
        <is>
          <t>노장리</t>
        </is>
      </c>
      <c r="H10904" s="3" t="inlineStr">
        <is>
          <t>보전관리지역</t>
        </is>
      </c>
      <c r="I10904" s="3" t="inlineStr">
        <is>
          <t>전</t>
        </is>
      </c>
      <c r="J10904" s="3" t="inlineStr">
        <is>
          <t>전동면</t>
        </is>
      </c>
    </row>
    <row r="10905">
      <c r="A10905" s="3" t="n">
        <v>2023</v>
      </c>
      <c r="B10905" s="4" t="n">
        <v>19778</v>
      </c>
      <c r="C10905" s="4" t="n">
        <v>2254</v>
      </c>
      <c r="D10905" s="4" t="n">
        <v>681.835</v>
      </c>
      <c r="E10905" s="5" t="n">
        <v>29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보전관리지역</t>
        </is>
      </c>
      <c r="I10905" s="3" t="inlineStr">
        <is>
          <t>임야</t>
        </is>
      </c>
      <c r="J10905" s="3" t="inlineStr">
        <is>
          <t>장군면</t>
        </is>
      </c>
    </row>
    <row r="10906">
      <c r="A10906" s="3" t="n">
        <v>2023</v>
      </c>
      <c r="B10906" s="4" t="n">
        <v>33200</v>
      </c>
      <c r="C10906" s="4" t="n">
        <v>523</v>
      </c>
      <c r="D10906" s="4" t="n">
        <v>158.2075</v>
      </c>
      <c r="E10906" s="5" t="n">
        <v>209.9</v>
      </c>
      <c r="F10906" s="3" t="inlineStr">
        <is>
          <t>연서면</t>
        </is>
      </c>
      <c r="G10906" s="3" t="inlineStr">
        <is>
          <t>신대리</t>
        </is>
      </c>
      <c r="H10906" s="3" t="inlineStr">
        <is>
          <t>보전관리지역</t>
        </is>
      </c>
      <c r="I10906" s="3" t="inlineStr">
        <is>
          <t>임야</t>
        </is>
      </c>
      <c r="J10906" s="3" t="inlineStr">
        <is>
          <t>연서면</t>
        </is>
      </c>
    </row>
    <row r="10907">
      <c r="A10907" s="3" t="n">
        <v>2023</v>
      </c>
      <c r="B10907" s="4" t="n">
        <v>37800</v>
      </c>
      <c r="C10907" s="4" t="n">
        <v>1316</v>
      </c>
      <c r="D10907" s="4" t="n">
        <v>398.09</v>
      </c>
      <c r="E10907" s="5" t="n">
        <v>95</v>
      </c>
      <c r="F10907" s="3" t="inlineStr">
        <is>
          <t>금남면</t>
        </is>
      </c>
      <c r="G10907" s="3" t="inlineStr">
        <is>
          <t>영대리</t>
        </is>
      </c>
      <c r="H10907" s="3" t="inlineStr">
        <is>
          <t>개발제한구역</t>
        </is>
      </c>
      <c r="I10907" s="3" t="inlineStr">
        <is>
          <t>답</t>
        </is>
      </c>
      <c r="J10907" s="3" t="inlineStr">
        <is>
          <t>금남면</t>
        </is>
      </c>
    </row>
    <row r="10908">
      <c r="A10908" s="3" t="n">
        <v>2023</v>
      </c>
      <c r="B10908" s="4" t="n">
        <v>22870</v>
      </c>
      <c r="C10908" s="4" t="n">
        <v>505</v>
      </c>
      <c r="D10908" s="4" t="n">
        <v>152.7625</v>
      </c>
      <c r="E10908" s="5" t="n">
        <v>149.7</v>
      </c>
      <c r="F10908" s="3" t="inlineStr">
        <is>
          <t>전의면</t>
        </is>
      </c>
      <c r="G10908" s="3" t="inlineStr">
        <is>
          <t>서정리</t>
        </is>
      </c>
      <c r="H10908" s="3" t="inlineStr">
        <is>
          <t>계획관리지역</t>
        </is>
      </c>
      <c r="I10908" s="3" t="inlineStr">
        <is>
          <t>대</t>
        </is>
      </c>
      <c r="J10908" s="3" t="inlineStr">
        <is>
          <t>전의면</t>
        </is>
      </c>
    </row>
    <row r="10909">
      <c r="A10909" s="3" t="n">
        <v>2023</v>
      </c>
      <c r="B10909" s="4" t="n">
        <v>76450</v>
      </c>
      <c r="C10909" s="4" t="n">
        <v>2298</v>
      </c>
      <c r="D10909" s="4" t="n">
        <v>695.145</v>
      </c>
      <c r="E10909" s="5" t="n">
        <v>110</v>
      </c>
      <c r="F10909" s="3" t="inlineStr">
        <is>
          <t>장군면</t>
        </is>
      </c>
      <c r="G10909" s="3" t="inlineStr">
        <is>
          <t>은용리</t>
        </is>
      </c>
      <c r="H10909" s="3" t="inlineStr">
        <is>
          <t>계획관리지역</t>
        </is>
      </c>
      <c r="I10909" s="3" t="inlineStr">
        <is>
          <t>전</t>
        </is>
      </c>
      <c r="J10909" s="3" t="inlineStr">
        <is>
          <t>장군면</t>
        </is>
      </c>
    </row>
    <row r="10910">
      <c r="A10910" s="3" t="n">
        <v>2023</v>
      </c>
      <c r="B10910" s="4" t="n">
        <v>28000</v>
      </c>
      <c r="C10910" s="4" t="n">
        <v>2198.1</v>
      </c>
      <c r="D10910" s="4" t="n">
        <v>664.92525</v>
      </c>
      <c r="E10910" s="5" t="n">
        <v>42.1</v>
      </c>
      <c r="F10910" s="3" t="inlineStr">
        <is>
          <t>장군면</t>
        </is>
      </c>
      <c r="G10910" s="3" t="inlineStr">
        <is>
          <t>용암리</t>
        </is>
      </c>
      <c r="H10910" s="3" t="inlineStr">
        <is>
          <t>농림지역</t>
        </is>
      </c>
      <c r="I10910" s="3" t="inlineStr">
        <is>
          <t>답</t>
        </is>
      </c>
      <c r="J10910" s="3" t="inlineStr">
        <is>
          <t>장군면</t>
        </is>
      </c>
    </row>
    <row r="10911">
      <c r="A10911" s="3" t="n">
        <v>2022</v>
      </c>
      <c r="B10911" s="4" t="n">
        <v>22780</v>
      </c>
      <c r="C10911" s="4" t="n">
        <v>1569</v>
      </c>
      <c r="D10911" s="4" t="n">
        <v>474.6225</v>
      </c>
      <c r="E10911" s="5" t="n">
        <v>48</v>
      </c>
      <c r="F10911" s="3" t="inlineStr">
        <is>
          <t>연서면</t>
        </is>
      </c>
      <c r="G10911" s="3" t="inlineStr">
        <is>
          <t>신대리</t>
        </is>
      </c>
      <c r="H10911" s="3" t="inlineStr">
        <is>
          <t>계획관리지역</t>
        </is>
      </c>
      <c r="I10911" s="3" t="inlineStr">
        <is>
          <t>전</t>
        </is>
      </c>
      <c r="J10911" s="3" t="inlineStr">
        <is>
          <t>연서면</t>
        </is>
      </c>
    </row>
    <row r="10912">
      <c r="A10912" s="3" t="n">
        <v>2022</v>
      </c>
      <c r="B10912" s="4" t="n">
        <v>1920</v>
      </c>
      <c r="C10912" s="4" t="n">
        <v>132</v>
      </c>
      <c r="D10912" s="4" t="n">
        <v>39.93</v>
      </c>
      <c r="E10912" s="5" t="n">
        <v>48.1</v>
      </c>
      <c r="F10912" s="3" t="inlineStr">
        <is>
          <t>연서면</t>
        </is>
      </c>
      <c r="G10912" s="3" t="inlineStr">
        <is>
          <t>신대리</t>
        </is>
      </c>
      <c r="H10912" s="3" t="inlineStr">
        <is>
          <t>계획관리지역</t>
        </is>
      </c>
      <c r="I10912" s="3" t="inlineStr">
        <is>
          <t>전</t>
        </is>
      </c>
      <c r="J10912" s="3" t="inlineStr">
        <is>
          <t>연서면</t>
        </is>
      </c>
    </row>
    <row r="10913">
      <c r="A10913" s="3" t="n">
        <v>2022</v>
      </c>
      <c r="B10913" s="4" t="n">
        <v>2000</v>
      </c>
      <c r="C10913" s="4" t="n">
        <v>164</v>
      </c>
      <c r="D10913" s="4" t="n">
        <v>49.61</v>
      </c>
      <c r="E10913" s="5" t="n">
        <v>40.3</v>
      </c>
      <c r="F10913" s="3" t="inlineStr">
        <is>
          <t>전의면</t>
        </is>
      </c>
      <c r="G10913" s="3" t="inlineStr">
        <is>
          <t>양곡리</t>
        </is>
      </c>
      <c r="H10913" s="3" t="inlineStr">
        <is>
          <t>계획관리지역</t>
        </is>
      </c>
      <c r="I10913" s="3" t="inlineStr">
        <is>
          <t>답</t>
        </is>
      </c>
      <c r="J10913" s="3" t="inlineStr">
        <is>
          <t>전의면</t>
        </is>
      </c>
    </row>
    <row r="10914">
      <c r="A10914" s="3" t="n">
        <v>2022</v>
      </c>
      <c r="B10914" s="4" t="n">
        <v>4000</v>
      </c>
      <c r="C10914" s="4" t="n">
        <v>506</v>
      </c>
      <c r="D10914" s="4" t="n">
        <v>153.065</v>
      </c>
      <c r="E10914" s="5" t="n">
        <v>26.1</v>
      </c>
      <c r="F10914" s="3" t="inlineStr">
        <is>
          <t>전의면</t>
        </is>
      </c>
      <c r="G10914" s="3" t="inlineStr">
        <is>
          <t>양곡리</t>
        </is>
      </c>
      <c r="H10914" s="3" t="inlineStr">
        <is>
          <t>계획관리지역</t>
        </is>
      </c>
      <c r="I10914" s="3" t="inlineStr">
        <is>
          <t>전</t>
        </is>
      </c>
      <c r="J10914" s="3" t="inlineStr">
        <is>
          <t>전의면</t>
        </is>
      </c>
    </row>
    <row r="10915">
      <c r="A10915" s="3" t="n">
        <v>2022</v>
      </c>
      <c r="B10915" s="4" t="n">
        <v>12000</v>
      </c>
      <c r="C10915" s="4" t="n">
        <v>417</v>
      </c>
      <c r="D10915" s="4" t="n">
        <v>126.1425</v>
      </c>
      <c r="E10915" s="5" t="n">
        <v>95.09999999999999</v>
      </c>
      <c r="F10915" s="3" t="inlineStr">
        <is>
          <t>장군면</t>
        </is>
      </c>
      <c r="G10915" s="3" t="inlineStr">
        <is>
          <t>산학리</t>
        </is>
      </c>
      <c r="H10915" s="3" t="inlineStr">
        <is>
          <t>보전관리지역</t>
        </is>
      </c>
      <c r="I10915" s="3" t="inlineStr">
        <is>
          <t>답</t>
        </is>
      </c>
      <c r="J10915" s="3" t="inlineStr">
        <is>
          <t>장군면</t>
        </is>
      </c>
    </row>
    <row r="10916">
      <c r="A10916" s="3" t="n">
        <v>2022</v>
      </c>
      <c r="B10916" s="4" t="n">
        <v>17783</v>
      </c>
      <c r="C10916" s="4" t="n">
        <v>559</v>
      </c>
      <c r="D10916" s="4" t="n">
        <v>169.0975</v>
      </c>
      <c r="E10916" s="5" t="n">
        <v>105.2</v>
      </c>
      <c r="F10916" s="3" t="inlineStr">
        <is>
          <t>연기면</t>
        </is>
      </c>
      <c r="G10916" s="3" t="inlineStr">
        <is>
          <t>수산리</t>
        </is>
      </c>
      <c r="H10916" s="3" t="inlineStr">
        <is>
          <t>보전관리지역</t>
        </is>
      </c>
      <c r="I10916" s="3" t="inlineStr">
        <is>
          <t>임야</t>
        </is>
      </c>
      <c r="J10916" s="3" t="inlineStr">
        <is>
          <t>연기면</t>
        </is>
      </c>
    </row>
    <row r="10917">
      <c r="A10917" s="3" t="n">
        <v>2022</v>
      </c>
      <c r="B10917" s="4" t="n">
        <v>40000</v>
      </c>
      <c r="C10917" s="4" t="n">
        <v>1312</v>
      </c>
      <c r="D10917" s="4" t="n">
        <v>396.88</v>
      </c>
      <c r="E10917" s="5" t="n">
        <v>100.8</v>
      </c>
      <c r="F10917" s="3" t="inlineStr">
        <is>
          <t>장군면</t>
        </is>
      </c>
      <c r="G10917" s="3" t="inlineStr">
        <is>
          <t>하봉리</t>
        </is>
      </c>
      <c r="H10917" s="3" t="inlineStr">
        <is>
          <t>계획관리지역</t>
        </is>
      </c>
      <c r="I10917" s="3" t="inlineStr">
        <is>
          <t>전</t>
        </is>
      </c>
      <c r="J10917" s="3" t="inlineStr">
        <is>
          <t>장군면</t>
        </is>
      </c>
    </row>
    <row r="10918">
      <c r="A10918" s="3" t="n">
        <v>2022</v>
      </c>
      <c r="B10918" s="4" t="n">
        <v>9300</v>
      </c>
      <c r="C10918" s="4" t="n">
        <v>305</v>
      </c>
      <c r="D10918" s="4" t="n">
        <v>92.2625</v>
      </c>
      <c r="E10918" s="5" t="n">
        <v>100.8</v>
      </c>
      <c r="F10918" s="3" t="inlineStr">
        <is>
          <t>장군면</t>
        </is>
      </c>
      <c r="G10918" s="3" t="inlineStr">
        <is>
          <t>하봉리</t>
        </is>
      </c>
      <c r="H10918" s="3" t="inlineStr">
        <is>
          <t>계획관리지역</t>
        </is>
      </c>
      <c r="I10918" s="3" t="inlineStr">
        <is>
          <t>임야</t>
        </is>
      </c>
      <c r="J10918" s="3" t="inlineStr">
        <is>
          <t>장군면</t>
        </is>
      </c>
    </row>
    <row r="10919">
      <c r="A10919" s="3" t="n">
        <v>2022</v>
      </c>
      <c r="B10919" s="4" t="n">
        <v>21000</v>
      </c>
      <c r="C10919" s="4" t="n">
        <v>685</v>
      </c>
      <c r="D10919" s="4" t="n">
        <v>207.2125</v>
      </c>
      <c r="E10919" s="5" t="n">
        <v>101.3</v>
      </c>
      <c r="F10919" s="3" t="inlineStr">
        <is>
          <t>장군면</t>
        </is>
      </c>
      <c r="G10919" s="3" t="inlineStr">
        <is>
          <t>하봉리</t>
        </is>
      </c>
      <c r="H10919" s="3" t="inlineStr">
        <is>
          <t>계획관리지역</t>
        </is>
      </c>
      <c r="I10919" s="3" t="inlineStr">
        <is>
          <t>임야</t>
        </is>
      </c>
      <c r="J10919" s="3" t="inlineStr">
        <is>
          <t>장군면</t>
        </is>
      </c>
    </row>
    <row r="10920">
      <c r="A10920" s="3" t="n">
        <v>2022</v>
      </c>
      <c r="B10920" s="4" t="n">
        <v>2700</v>
      </c>
      <c r="C10920" s="4" t="n">
        <v>92</v>
      </c>
      <c r="D10920" s="4" t="n">
        <v>27.83</v>
      </c>
      <c r="E10920" s="5" t="n">
        <v>97</v>
      </c>
      <c r="F10920" s="3" t="inlineStr">
        <is>
          <t>장군면</t>
        </is>
      </c>
      <c r="G10920" s="3" t="inlineStr">
        <is>
          <t>하봉리</t>
        </is>
      </c>
      <c r="H10920" s="3" t="inlineStr">
        <is>
          <t>계획관리지역</t>
        </is>
      </c>
      <c r="I10920" s="3" t="inlineStr">
        <is>
          <t>임야</t>
        </is>
      </c>
      <c r="J10920" s="3" t="inlineStr">
        <is>
          <t>장군면</t>
        </is>
      </c>
    </row>
    <row r="10921">
      <c r="A10921" s="3" t="n">
        <v>2022</v>
      </c>
      <c r="B10921" s="4" t="n">
        <v>58900</v>
      </c>
      <c r="C10921" s="4" t="n">
        <v>2093</v>
      </c>
      <c r="D10921" s="4" t="n">
        <v>633.1324999999999</v>
      </c>
      <c r="E10921" s="5" t="n">
        <v>93</v>
      </c>
      <c r="F10921" s="3" t="inlineStr">
        <is>
          <t>장군면</t>
        </is>
      </c>
      <c r="G10921" s="3" t="inlineStr">
        <is>
          <t>하봉리</t>
        </is>
      </c>
      <c r="H10921" s="3" t="inlineStr">
        <is>
          <t>계획관리지역</t>
        </is>
      </c>
      <c r="I10921" s="3" t="inlineStr">
        <is>
          <t>전</t>
        </is>
      </c>
      <c r="J10921" s="3" t="inlineStr">
        <is>
          <t>장군면</t>
        </is>
      </c>
    </row>
    <row r="10922">
      <c r="A10922" s="3" t="n">
        <v>2022</v>
      </c>
      <c r="B10922" s="4" t="n">
        <v>4800</v>
      </c>
      <c r="C10922" s="4" t="n">
        <v>111</v>
      </c>
      <c r="D10922" s="4" t="n">
        <v>33.5775</v>
      </c>
      <c r="E10922" s="5" t="n">
        <v>143</v>
      </c>
      <c r="F10922" s="3" t="inlineStr">
        <is>
          <t>연서면</t>
        </is>
      </c>
      <c r="G10922" s="3" t="inlineStr">
        <is>
          <t>고복리</t>
        </is>
      </c>
      <c r="H10922" s="3" t="inlineStr">
        <is>
          <t>계획관리지역</t>
        </is>
      </c>
      <c r="I10922" s="3" t="inlineStr">
        <is>
          <t>도로</t>
        </is>
      </c>
      <c r="J10922" s="3" t="inlineStr">
        <is>
          <t>연서면</t>
        </is>
      </c>
    </row>
    <row r="10923">
      <c r="A10923" s="3" t="n">
        <v>2022</v>
      </c>
      <c r="B10923" s="4" t="n">
        <v>7200</v>
      </c>
      <c r="C10923" s="4" t="n">
        <v>164</v>
      </c>
      <c r="D10923" s="4" t="n">
        <v>49.61</v>
      </c>
      <c r="E10923" s="5" t="n">
        <v>145.1</v>
      </c>
      <c r="F10923" s="3" t="inlineStr">
        <is>
          <t>연서면</t>
        </is>
      </c>
      <c r="G10923" s="3" t="inlineStr">
        <is>
          <t>고복리</t>
        </is>
      </c>
      <c r="H10923" s="3" t="inlineStr">
        <is>
          <t>계획관리지역</t>
        </is>
      </c>
      <c r="I10923" s="3" t="inlineStr">
        <is>
          <t>하천</t>
        </is>
      </c>
      <c r="J10923" s="3" t="inlineStr">
        <is>
          <t>연서면</t>
        </is>
      </c>
    </row>
    <row r="10924">
      <c r="A10924" s="3" t="n">
        <v>2022</v>
      </c>
      <c r="B10924" s="4" t="n">
        <v>5000</v>
      </c>
      <c r="C10924" s="4" t="n">
        <v>689</v>
      </c>
      <c r="D10924" s="4" t="n">
        <v>208.4225</v>
      </c>
      <c r="E10924" s="5" t="n">
        <v>24</v>
      </c>
      <c r="F10924" s="3" t="inlineStr">
        <is>
          <t>유구읍</t>
        </is>
      </c>
      <c r="G10924" s="3" t="inlineStr">
        <is>
          <t>신영리</t>
        </is>
      </c>
      <c r="H10924" s="3" t="inlineStr">
        <is>
          <t>보전관리지역</t>
        </is>
      </c>
      <c r="I10924" s="3" t="inlineStr">
        <is>
          <t>전</t>
        </is>
      </c>
      <c r="J10924" s="3" t="inlineStr">
        <is>
          <t>유구읍</t>
        </is>
      </c>
    </row>
    <row r="10925">
      <c r="A10925" s="3" t="n">
        <v>2022</v>
      </c>
      <c r="B10925" s="4" t="n">
        <v>2650</v>
      </c>
      <c r="C10925" s="4" t="n">
        <v>92</v>
      </c>
      <c r="D10925" s="4" t="n">
        <v>27.83</v>
      </c>
      <c r="E10925" s="5" t="n">
        <v>95.2</v>
      </c>
      <c r="F10925" s="3" t="inlineStr">
        <is>
          <t>유구읍</t>
        </is>
      </c>
      <c r="G10925" s="3" t="inlineStr">
        <is>
          <t>유구리</t>
        </is>
      </c>
      <c r="H10925" s="3" t="inlineStr">
        <is>
          <t>제2종일반주거지역</t>
        </is>
      </c>
      <c r="I10925" s="3" t="inlineStr">
        <is>
          <t>대</t>
        </is>
      </c>
      <c r="J10925" s="3" t="inlineStr">
        <is>
          <t>유구읍</t>
        </is>
      </c>
    </row>
    <row r="10926">
      <c r="A10926" s="3" t="n">
        <v>2022</v>
      </c>
      <c r="B10926" s="4" t="n">
        <v>2500</v>
      </c>
      <c r="C10926" s="4" t="n">
        <v>1213</v>
      </c>
      <c r="D10926" s="4" t="n">
        <v>366.9325</v>
      </c>
      <c r="E10926" s="5" t="n">
        <v>6.8</v>
      </c>
      <c r="F10926" s="3" t="inlineStr">
        <is>
          <t>유구읍</t>
        </is>
      </c>
      <c r="G10926" s="3" t="inlineStr">
        <is>
          <t>추계리</t>
        </is>
      </c>
      <c r="H10926" s="3" t="inlineStr">
        <is>
          <t>생산관리지역</t>
        </is>
      </c>
      <c r="I10926" s="3" t="inlineStr">
        <is>
          <t>답</t>
        </is>
      </c>
      <c r="J10926" s="3" t="inlineStr">
        <is>
          <t>유구읍</t>
        </is>
      </c>
    </row>
    <row r="10927">
      <c r="A10927" s="3" t="n">
        <v>2023</v>
      </c>
      <c r="B10927" s="4" t="n">
        <v>9104</v>
      </c>
      <c r="C10927" s="4" t="n">
        <v>1340</v>
      </c>
      <c r="D10927" s="4" t="n">
        <v>405.35</v>
      </c>
      <c r="E10927" s="5" t="n">
        <v>22.5</v>
      </c>
      <c r="F10927" s="3" t="inlineStr">
        <is>
          <t>유구읍</t>
        </is>
      </c>
      <c r="G10927" s="3" t="inlineStr">
        <is>
          <t>구계리</t>
        </is>
      </c>
      <c r="H10927" s="3" t="inlineStr">
        <is>
          <t>계획관리지역</t>
        </is>
      </c>
      <c r="I10927" s="3" t="inlineStr">
        <is>
          <t>답</t>
        </is>
      </c>
      <c r="J10927" s="3" t="inlineStr">
        <is>
          <t>유구읍</t>
        </is>
      </c>
    </row>
    <row r="10928">
      <c r="A10928" s="3" t="n">
        <v>2023</v>
      </c>
      <c r="B10928" s="4" t="n">
        <v>1046</v>
      </c>
      <c r="C10928" s="4" t="n">
        <v>154</v>
      </c>
      <c r="D10928" s="4" t="n">
        <v>46.585</v>
      </c>
      <c r="E10928" s="5" t="n">
        <v>22.5</v>
      </c>
      <c r="F10928" s="3" t="inlineStr">
        <is>
          <t>유구읍</t>
        </is>
      </c>
      <c r="G10928" s="3" t="inlineStr">
        <is>
          <t>구계리</t>
        </is>
      </c>
      <c r="H10928" s="3" t="inlineStr">
        <is>
          <t>계획관리지역</t>
        </is>
      </c>
      <c r="I10928" s="3" t="inlineStr">
        <is>
          <t>답</t>
        </is>
      </c>
      <c r="J10928" s="3" t="inlineStr">
        <is>
          <t>유구읍</t>
        </is>
      </c>
    </row>
    <row r="10929">
      <c r="A10929" s="3" t="n">
        <v>2023</v>
      </c>
      <c r="B10929" s="4" t="n">
        <v>115000</v>
      </c>
      <c r="C10929" s="4" t="n">
        <v>17256</v>
      </c>
      <c r="D10929" s="4" t="n">
        <v>5219.94</v>
      </c>
      <c r="E10929" s="5" t="n">
        <v>22</v>
      </c>
      <c r="F10929" s="3" t="inlineStr">
        <is>
          <t>유구읍</t>
        </is>
      </c>
      <c r="G10929" s="3" t="inlineStr">
        <is>
          <t>녹천리</t>
        </is>
      </c>
      <c r="H10929" s="3" t="inlineStr">
        <is>
          <t>농림지역</t>
        </is>
      </c>
      <c r="I10929" s="3" t="inlineStr">
        <is>
          <t>공장용지</t>
        </is>
      </c>
      <c r="J10929" s="3" t="inlineStr">
        <is>
          <t>유구읍</t>
        </is>
      </c>
    </row>
    <row r="10930">
      <c r="A10930" s="3" t="n">
        <v>2023</v>
      </c>
      <c r="B10930" s="4" t="n">
        <v>35000</v>
      </c>
      <c r="C10930" s="4" t="n">
        <v>6294</v>
      </c>
      <c r="D10930" s="4" t="n">
        <v>1903.935</v>
      </c>
      <c r="E10930" s="5" t="n">
        <v>18.4</v>
      </c>
      <c r="F10930" s="3" t="inlineStr">
        <is>
          <t>유구읍</t>
        </is>
      </c>
      <c r="G10930" s="3" t="inlineStr">
        <is>
          <t>녹천리</t>
        </is>
      </c>
      <c r="H10930" s="3" t="inlineStr">
        <is>
          <t>농림지역</t>
        </is>
      </c>
      <c r="I10930" s="3" t="inlineStr">
        <is>
          <t>공장용지</t>
        </is>
      </c>
      <c r="J10930" s="3" t="inlineStr">
        <is>
          <t>유구읍</t>
        </is>
      </c>
    </row>
    <row r="10931">
      <c r="A10931" s="3" t="n">
        <v>2023</v>
      </c>
      <c r="B10931" s="4" t="n">
        <v>3200</v>
      </c>
      <c r="C10931" s="4" t="n">
        <v>417</v>
      </c>
      <c r="D10931" s="4" t="n">
        <v>126.1425</v>
      </c>
      <c r="E10931" s="5" t="n">
        <v>25.4</v>
      </c>
      <c r="F10931" s="3" t="inlineStr">
        <is>
          <t>유구읍</t>
        </is>
      </c>
      <c r="G10931" s="3" t="inlineStr">
        <is>
          <t>입석리</t>
        </is>
      </c>
      <c r="H10931" s="3" t="inlineStr">
        <is>
          <t>계획관리지역</t>
        </is>
      </c>
      <c r="I10931" s="3" t="inlineStr">
        <is>
          <t>전</t>
        </is>
      </c>
      <c r="J10931" s="3" t="inlineStr">
        <is>
          <t>유구읍</t>
        </is>
      </c>
    </row>
    <row r="10932">
      <c r="A10932" s="3" t="n">
        <v>2023</v>
      </c>
      <c r="B10932" s="4" t="n">
        <v>204</v>
      </c>
      <c r="C10932" s="4" t="n">
        <v>53</v>
      </c>
      <c r="D10932" s="4" t="n">
        <v>16.0325</v>
      </c>
      <c r="E10932" s="5" t="n">
        <v>12.7</v>
      </c>
      <c r="F10932" s="3" t="inlineStr">
        <is>
          <t>유구읍</t>
        </is>
      </c>
      <c r="G10932" s="3" t="inlineStr">
        <is>
          <t>동해리</t>
        </is>
      </c>
      <c r="H10932" s="3" t="inlineStr">
        <is>
          <t>계획관리지역</t>
        </is>
      </c>
      <c r="I10932" s="3" t="inlineStr">
        <is>
          <t>답</t>
        </is>
      </c>
      <c r="J10932" s="3" t="inlineStr">
        <is>
          <t>유구읍</t>
        </is>
      </c>
    </row>
    <row r="10933">
      <c r="A10933" s="3" t="n">
        <v>2023</v>
      </c>
      <c r="B10933" s="4" t="n">
        <v>166</v>
      </c>
      <c r="C10933" s="4" t="n">
        <v>43</v>
      </c>
      <c r="D10933" s="4" t="n">
        <v>13.0075</v>
      </c>
      <c r="E10933" s="5" t="n">
        <v>12.8</v>
      </c>
      <c r="F10933" s="3" t="inlineStr">
        <is>
          <t>유구읍</t>
        </is>
      </c>
      <c r="G10933" s="3" t="inlineStr">
        <is>
          <t>동해리</t>
        </is>
      </c>
      <c r="H10933" s="3" t="inlineStr">
        <is>
          <t>계획관리지역</t>
        </is>
      </c>
      <c r="I10933" s="3" t="inlineStr">
        <is>
          <t>답</t>
        </is>
      </c>
      <c r="J10933" s="3" t="inlineStr">
        <is>
          <t>유구읍</t>
        </is>
      </c>
    </row>
    <row r="10934">
      <c r="A10934" s="3" t="n">
        <v>2023</v>
      </c>
      <c r="B10934" s="4" t="n">
        <v>5640</v>
      </c>
      <c r="C10934" s="4" t="n">
        <v>2331</v>
      </c>
      <c r="D10934" s="4" t="n">
        <v>705.1274999999999</v>
      </c>
      <c r="E10934" s="5" t="n">
        <v>8</v>
      </c>
      <c r="F10934" s="3" t="inlineStr">
        <is>
          <t>유구읍</t>
        </is>
      </c>
      <c r="G10934" s="3" t="inlineStr">
        <is>
          <t>덕곡리</t>
        </is>
      </c>
      <c r="H10934" s="3" t="inlineStr">
        <is>
          <t>보전관리지역</t>
        </is>
      </c>
      <c r="I10934" s="3" t="inlineStr">
        <is>
          <t>전</t>
        </is>
      </c>
      <c r="J10934" s="3" t="inlineStr">
        <is>
          <t>유구읍</t>
        </is>
      </c>
    </row>
    <row r="10935">
      <c r="A10935" s="3" t="n">
        <v>2023</v>
      </c>
      <c r="B10935" s="4" t="n">
        <v>5300</v>
      </c>
      <c r="C10935" s="4" t="n">
        <v>364</v>
      </c>
      <c r="D10935" s="4" t="n">
        <v>110.11</v>
      </c>
      <c r="E10935" s="5" t="n">
        <v>48.1</v>
      </c>
      <c r="F10935" s="3" t="inlineStr">
        <is>
          <t>유구읍</t>
        </is>
      </c>
      <c r="G10935" s="3" t="inlineStr">
        <is>
          <t>추계리</t>
        </is>
      </c>
      <c r="H10935" s="3" t="inlineStr">
        <is>
          <t>계획관리지역</t>
        </is>
      </c>
      <c r="I10935" s="3" t="inlineStr">
        <is>
          <t>대</t>
        </is>
      </c>
      <c r="J10935" s="3" t="inlineStr">
        <is>
          <t>유구읍</t>
        </is>
      </c>
    </row>
    <row r="10936">
      <c r="A10936" s="3" t="n">
        <v>2023</v>
      </c>
      <c r="B10936" s="4" t="n">
        <v>7627</v>
      </c>
      <c r="C10936" s="4" t="n">
        <v>30940</v>
      </c>
      <c r="D10936" s="4" t="n">
        <v>9359.35</v>
      </c>
      <c r="E10936" s="5" t="n">
        <v>0.8</v>
      </c>
      <c r="F10936" s="3" t="inlineStr">
        <is>
          <t>유구읍</t>
        </is>
      </c>
      <c r="G10936" s="3" t="inlineStr">
        <is>
          <t>명곡리</t>
        </is>
      </c>
      <c r="H10936" s="3" t="inlineStr">
        <is>
          <t>농림지역</t>
        </is>
      </c>
      <c r="I10936" s="3" t="inlineStr">
        <is>
          <t>임야</t>
        </is>
      </c>
      <c r="J10936" s="3" t="inlineStr">
        <is>
          <t>유구읍</t>
        </is>
      </c>
    </row>
    <row r="10937">
      <c r="A10937" s="3" t="n">
        <v>2022</v>
      </c>
      <c r="B10937" s="4" t="n">
        <v>4000</v>
      </c>
      <c r="C10937" s="4" t="n">
        <v>917</v>
      </c>
      <c r="D10937" s="4" t="n">
        <v>277.3925</v>
      </c>
      <c r="E10937" s="5" t="n">
        <v>14.4</v>
      </c>
      <c r="F10937" s="3" t="inlineStr">
        <is>
          <t>유구읍</t>
        </is>
      </c>
      <c r="G10937" s="3" t="inlineStr">
        <is>
          <t>석남리</t>
        </is>
      </c>
      <c r="H10937" s="3" t="inlineStr">
        <is>
          <t>계획관리지역</t>
        </is>
      </c>
      <c r="I10937" s="3" t="inlineStr">
        <is>
          <t>답</t>
        </is>
      </c>
      <c r="J10937" s="3" t="inlineStr">
        <is>
          <t>유구읍</t>
        </is>
      </c>
    </row>
    <row r="10938">
      <c r="A10938" s="3" t="n">
        <v>2022</v>
      </c>
      <c r="B10938" s="4" t="n">
        <v>3700</v>
      </c>
      <c r="C10938" s="4" t="n">
        <v>1388</v>
      </c>
      <c r="D10938" s="4" t="n">
        <v>419.87</v>
      </c>
      <c r="E10938" s="5" t="n">
        <v>8.800000000000001</v>
      </c>
      <c r="F10938" s="3" t="inlineStr">
        <is>
          <t>유구읍</t>
        </is>
      </c>
      <c r="G10938" s="3" t="inlineStr">
        <is>
          <t>석남리</t>
        </is>
      </c>
      <c r="H10938" s="3" t="inlineStr">
        <is>
          <t>계획관리지역</t>
        </is>
      </c>
      <c r="I10938" s="3" t="inlineStr">
        <is>
          <t>답</t>
        </is>
      </c>
      <c r="J10938" s="3" t="inlineStr">
        <is>
          <t>유구읍</t>
        </is>
      </c>
    </row>
    <row r="10939">
      <c r="A10939" s="3" t="n">
        <v>2022</v>
      </c>
      <c r="B10939" s="4" t="n">
        <v>3800</v>
      </c>
      <c r="C10939" s="4" t="n">
        <v>987</v>
      </c>
      <c r="D10939" s="4" t="n">
        <v>298.5675</v>
      </c>
      <c r="E10939" s="5" t="n">
        <v>12.7</v>
      </c>
      <c r="F10939" s="3" t="inlineStr">
        <is>
          <t>유구읍</t>
        </is>
      </c>
      <c r="G10939" s="3" t="inlineStr">
        <is>
          <t>녹천리</t>
        </is>
      </c>
      <c r="H10939" s="3" t="inlineStr">
        <is>
          <t>계획관리지역</t>
        </is>
      </c>
      <c r="I10939" s="3" t="inlineStr">
        <is>
          <t>답</t>
        </is>
      </c>
      <c r="J10939" s="3" t="inlineStr">
        <is>
          <t>유구읍</t>
        </is>
      </c>
    </row>
    <row r="10940">
      <c r="A10940" s="3" t="n">
        <v>2022</v>
      </c>
      <c r="B10940" s="4" t="n">
        <v>1200</v>
      </c>
      <c r="C10940" s="4" t="n">
        <v>126</v>
      </c>
      <c r="D10940" s="4" t="n">
        <v>38.115</v>
      </c>
      <c r="E10940" s="5" t="n">
        <v>31.5</v>
      </c>
      <c r="F10940" s="3" t="inlineStr">
        <is>
          <t>연서면</t>
        </is>
      </c>
      <c r="G10940" s="3" t="inlineStr">
        <is>
          <t>성제리</t>
        </is>
      </c>
      <c r="H10940" s="3" t="inlineStr">
        <is>
          <t>계획관리지역</t>
        </is>
      </c>
      <c r="I10940" s="3" t="inlineStr">
        <is>
          <t>하천</t>
        </is>
      </c>
      <c r="J10940" s="3" t="inlineStr">
        <is>
          <t>연서면</t>
        </is>
      </c>
    </row>
    <row r="10941">
      <c r="A10941" s="3" t="n">
        <v>2022</v>
      </c>
      <c r="B10941" s="4" t="n">
        <v>4900</v>
      </c>
      <c r="C10941" s="4" t="n">
        <v>268</v>
      </c>
      <c r="D10941" s="4" t="n">
        <v>81.06999999999999</v>
      </c>
      <c r="E10941" s="5" t="n">
        <v>60.4</v>
      </c>
      <c r="F10941" s="3" t="inlineStr">
        <is>
          <t>금남면</t>
        </is>
      </c>
      <c r="G10941" s="3" t="inlineStr">
        <is>
          <t>대박리</t>
        </is>
      </c>
      <c r="H10941" s="3" t="inlineStr">
        <is>
          <t>개발제한구역</t>
        </is>
      </c>
      <c r="I10941" s="3" t="inlineStr">
        <is>
          <t>전</t>
        </is>
      </c>
      <c r="J10941" s="3" t="inlineStr">
        <is>
          <t>금남면</t>
        </is>
      </c>
    </row>
    <row r="10942">
      <c r="A10942" s="3" t="n">
        <v>2022</v>
      </c>
      <c r="B10942" s="4" t="n">
        <v>198600</v>
      </c>
      <c r="C10942" s="4" t="n">
        <v>9000</v>
      </c>
      <c r="D10942" s="4" t="n">
        <v>2722.5</v>
      </c>
      <c r="E10942" s="5" t="n">
        <v>72.90000000000001</v>
      </c>
      <c r="F10942" s="3" t="inlineStr">
        <is>
          <t>장군면</t>
        </is>
      </c>
      <c r="G10942" s="3" t="inlineStr">
        <is>
          <t>산학리</t>
        </is>
      </c>
      <c r="H10942" s="3" t="inlineStr">
        <is>
          <t>보전관리지역</t>
        </is>
      </c>
      <c r="I10942" s="3" t="inlineStr">
        <is>
          <t>임야</t>
        </is>
      </c>
      <c r="J10942" s="3" t="inlineStr">
        <is>
          <t>장군면</t>
        </is>
      </c>
    </row>
    <row r="10943">
      <c r="A10943" s="3" t="n">
        <v>2022</v>
      </c>
      <c r="B10943" s="4" t="n">
        <v>3000</v>
      </c>
      <c r="C10943" s="4" t="n">
        <v>86</v>
      </c>
      <c r="D10943" s="4" t="n">
        <v>26.015</v>
      </c>
      <c r="E10943" s="5" t="n">
        <v>115.3</v>
      </c>
      <c r="F10943" s="3" t="inlineStr">
        <is>
          <t>연동면</t>
        </is>
      </c>
      <c r="G10943" s="3" t="inlineStr">
        <is>
          <t>응암리</t>
        </is>
      </c>
      <c r="H10943" s="3" t="inlineStr">
        <is>
          <t>계획관리지역</t>
        </is>
      </c>
      <c r="I10943" s="3" t="inlineStr">
        <is>
          <t>대</t>
        </is>
      </c>
      <c r="J10943" s="3" t="inlineStr">
        <is>
          <t>연동면</t>
        </is>
      </c>
    </row>
    <row r="10944">
      <c r="A10944" s="3" t="n">
        <v>2022</v>
      </c>
      <c r="B10944" s="4" t="n">
        <v>880</v>
      </c>
      <c r="C10944" s="4" t="n">
        <v>73</v>
      </c>
      <c r="D10944" s="4" t="n">
        <v>22.0825</v>
      </c>
      <c r="E10944" s="5" t="n">
        <v>39.9</v>
      </c>
      <c r="F10944" s="3" t="inlineStr">
        <is>
          <t>연동면</t>
        </is>
      </c>
      <c r="G10944" s="3" t="inlineStr">
        <is>
          <t>응암리</t>
        </is>
      </c>
      <c r="H10944" s="3" t="inlineStr">
        <is>
          <t>계획관리지역</t>
        </is>
      </c>
      <c r="I10944" s="3" t="inlineStr">
        <is>
          <t>전</t>
        </is>
      </c>
      <c r="J10944" s="3" t="inlineStr">
        <is>
          <t>연동면</t>
        </is>
      </c>
    </row>
    <row r="10945">
      <c r="A10945" s="3" t="n">
        <v>2022</v>
      </c>
      <c r="B10945" s="4" t="n">
        <v>880</v>
      </c>
      <c r="C10945" s="4" t="n">
        <v>73</v>
      </c>
      <c r="D10945" s="4" t="n">
        <v>22.0825</v>
      </c>
      <c r="E10945" s="5" t="n">
        <v>39.9</v>
      </c>
      <c r="F10945" s="3" t="inlineStr">
        <is>
          <t>연동면</t>
        </is>
      </c>
      <c r="G10945" s="3" t="inlineStr">
        <is>
          <t>응암리</t>
        </is>
      </c>
      <c r="H10945" s="3" t="inlineStr">
        <is>
          <t>계획관리지역</t>
        </is>
      </c>
      <c r="I10945" s="3" t="inlineStr">
        <is>
          <t>전</t>
        </is>
      </c>
      <c r="J10945" s="3" t="inlineStr">
        <is>
          <t>연동면</t>
        </is>
      </c>
    </row>
    <row r="10946">
      <c r="A10946" s="3" t="n">
        <v>2022</v>
      </c>
      <c r="B10946" s="4" t="n">
        <v>241</v>
      </c>
      <c r="C10946" s="4" t="n">
        <v>20</v>
      </c>
      <c r="D10946" s="4" t="n">
        <v>6.05</v>
      </c>
      <c r="E10946" s="5" t="n">
        <v>39.8</v>
      </c>
      <c r="F10946" s="3" t="inlineStr">
        <is>
          <t>연동면</t>
        </is>
      </c>
      <c r="G10946" s="3" t="inlineStr">
        <is>
          <t>응암리</t>
        </is>
      </c>
      <c r="H10946" s="3" t="inlineStr">
        <is>
          <t>계획관리지역</t>
        </is>
      </c>
      <c r="I10946" s="3" t="inlineStr">
        <is>
          <t>전</t>
        </is>
      </c>
      <c r="J10946" s="3" t="inlineStr">
        <is>
          <t>연동면</t>
        </is>
      </c>
    </row>
    <row r="10947">
      <c r="A10947" s="3" t="n">
        <v>2022</v>
      </c>
      <c r="B10947" s="4" t="n">
        <v>2374</v>
      </c>
      <c r="C10947" s="4" t="n">
        <v>962</v>
      </c>
      <c r="D10947" s="4" t="n">
        <v>291.005</v>
      </c>
      <c r="E10947" s="5" t="n">
        <v>8.199999999999999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생산관리지역</t>
        </is>
      </c>
      <c r="I10947" s="3" t="inlineStr">
        <is>
          <t>전</t>
        </is>
      </c>
      <c r="J10947" s="3" t="inlineStr">
        <is>
          <t>전동면</t>
        </is>
      </c>
    </row>
    <row r="10948">
      <c r="A10948" s="3" t="n">
        <v>2022</v>
      </c>
      <c r="B10948" s="4" t="n">
        <v>1926</v>
      </c>
      <c r="C10948" s="4" t="n">
        <v>780</v>
      </c>
      <c r="D10948" s="4" t="n">
        <v>235.95</v>
      </c>
      <c r="E10948" s="5" t="n">
        <v>8.199999999999999</v>
      </c>
      <c r="F10948" s="3" t="inlineStr">
        <is>
          <t>전동면</t>
        </is>
      </c>
      <c r="G10948" s="3" t="inlineStr">
        <is>
          <t>미곡리</t>
        </is>
      </c>
      <c r="H10948" s="3" t="inlineStr">
        <is>
          <t>생산관리지역</t>
        </is>
      </c>
      <c r="I10948" s="3" t="inlineStr">
        <is>
          <t>답</t>
        </is>
      </c>
      <c r="J10948" s="3" t="inlineStr">
        <is>
          <t>전동면</t>
        </is>
      </c>
    </row>
    <row r="10949">
      <c r="A10949" s="3" t="n">
        <v>2022</v>
      </c>
      <c r="B10949" s="4" t="n">
        <v>18200</v>
      </c>
      <c r="C10949" s="4" t="n">
        <v>330</v>
      </c>
      <c r="D10949" s="4" t="n">
        <v>99.825</v>
      </c>
      <c r="E10949" s="5" t="n">
        <v>182.3</v>
      </c>
      <c r="F10949" s="3" t="inlineStr">
        <is>
          <t>전의면</t>
        </is>
      </c>
      <c r="G10949" s="3" t="inlineStr">
        <is>
          <t>읍내리</t>
        </is>
      </c>
      <c r="H10949" s="3" t="inlineStr">
        <is>
          <t>계획관리지역</t>
        </is>
      </c>
      <c r="I10949" s="3" t="inlineStr">
        <is>
          <t>전</t>
        </is>
      </c>
      <c r="J10949" s="3" t="inlineStr">
        <is>
          <t>전의면</t>
        </is>
      </c>
    </row>
    <row r="10950">
      <c r="A10950" s="3" t="n">
        <v>2022</v>
      </c>
      <c r="B10950" s="4" t="n">
        <v>12400</v>
      </c>
      <c r="C10950" s="4" t="n">
        <v>224</v>
      </c>
      <c r="D10950" s="4" t="n">
        <v>67.75999999999999</v>
      </c>
      <c r="E10950" s="5" t="n">
        <v>183</v>
      </c>
      <c r="F10950" s="3" t="inlineStr">
        <is>
          <t>전의면</t>
        </is>
      </c>
      <c r="G10950" s="3" t="inlineStr">
        <is>
          <t>읍내리</t>
        </is>
      </c>
      <c r="H10950" s="3" t="inlineStr">
        <is>
          <t>계획관리지역</t>
        </is>
      </c>
      <c r="I10950" s="3" t="inlineStr">
        <is>
          <t>전</t>
        </is>
      </c>
      <c r="J10950" s="3" t="inlineStr">
        <is>
          <t>전의면</t>
        </is>
      </c>
    </row>
    <row r="10951">
      <c r="A10951" s="3" t="n">
        <v>2022</v>
      </c>
      <c r="B10951" s="4" t="n">
        <v>3631</v>
      </c>
      <c r="C10951" s="4" t="n">
        <v>150</v>
      </c>
      <c r="D10951" s="4" t="n">
        <v>45.375</v>
      </c>
      <c r="E10951" s="5" t="n">
        <v>80</v>
      </c>
      <c r="F10951" s="3" t="inlineStr">
        <is>
          <t>연기면</t>
        </is>
      </c>
      <c r="G10951" s="3" t="inlineStr">
        <is>
          <t>수산리</t>
        </is>
      </c>
      <c r="H10951" s="3" t="inlineStr">
        <is>
          <t>계획관리지역</t>
        </is>
      </c>
      <c r="I10951" s="3" t="inlineStr">
        <is>
          <t>전</t>
        </is>
      </c>
      <c r="J10951" s="3" t="inlineStr">
        <is>
          <t>연기면</t>
        </is>
      </c>
    </row>
    <row r="10952">
      <c r="A10952" s="3" t="n">
        <v>2022</v>
      </c>
      <c r="B10952" s="4" t="n">
        <v>120000</v>
      </c>
      <c r="C10952" s="4" t="n">
        <v>2720</v>
      </c>
      <c r="D10952" s="4" t="n">
        <v>822.8</v>
      </c>
      <c r="E10952" s="5" t="n">
        <v>145.8</v>
      </c>
      <c r="F10952" s="3" t="inlineStr">
        <is>
          <t>연서면</t>
        </is>
      </c>
      <c r="G10952" s="3" t="inlineStr">
        <is>
          <t>성제리</t>
        </is>
      </c>
      <c r="H10952" s="3" t="inlineStr">
        <is>
          <t>농림지역</t>
        </is>
      </c>
      <c r="I10952" s="3" t="inlineStr">
        <is>
          <t>답</t>
        </is>
      </c>
      <c r="J10952" s="3" t="inlineStr">
        <is>
          <t>연서면</t>
        </is>
      </c>
    </row>
    <row r="10953">
      <c r="A10953" s="3" t="n">
        <v>2022</v>
      </c>
      <c r="B10953" s="4" t="n">
        <v>16200</v>
      </c>
      <c r="C10953" s="4" t="n">
        <v>1345</v>
      </c>
      <c r="D10953" s="4" t="n">
        <v>406.8625</v>
      </c>
      <c r="E10953" s="5" t="n">
        <v>39.8</v>
      </c>
      <c r="F10953" s="3" t="inlineStr">
        <is>
          <t>금남면</t>
        </is>
      </c>
      <c r="G10953" s="3" t="inlineStr">
        <is>
          <t>영대리</t>
        </is>
      </c>
      <c r="H10953" s="3" t="inlineStr">
        <is>
          <t>개발제한구역</t>
        </is>
      </c>
      <c r="I10953" s="3" t="inlineStr">
        <is>
          <t>전</t>
        </is>
      </c>
      <c r="J10953" s="3" t="inlineStr">
        <is>
          <t>금남면</t>
        </is>
      </c>
    </row>
    <row r="10954">
      <c r="A10954" s="3" t="n">
        <v>2022</v>
      </c>
      <c r="B10954" s="4" t="n">
        <v>24400</v>
      </c>
      <c r="C10954" s="4" t="n">
        <v>403</v>
      </c>
      <c r="D10954" s="4" t="n">
        <v>121.9075</v>
      </c>
      <c r="E10954" s="5" t="n">
        <v>200.2</v>
      </c>
      <c r="F10954" s="3" t="inlineStr">
        <is>
          <t>전의면</t>
        </is>
      </c>
      <c r="G10954" s="3" t="inlineStr">
        <is>
          <t>읍내리</t>
        </is>
      </c>
      <c r="H10954" s="3" t="inlineStr">
        <is>
          <t>제1종일반주거지역</t>
        </is>
      </c>
      <c r="I10954" s="3" t="inlineStr">
        <is>
          <t>대</t>
        </is>
      </c>
      <c r="J10954" s="3" t="inlineStr">
        <is>
          <t>전의면</t>
        </is>
      </c>
    </row>
    <row r="10955">
      <c r="A10955" s="3" t="n">
        <v>2022</v>
      </c>
      <c r="B10955" s="4" t="n">
        <v>10000</v>
      </c>
      <c r="C10955" s="4" t="n">
        <v>1043</v>
      </c>
      <c r="D10955" s="4" t="n">
        <v>315.5075</v>
      </c>
      <c r="E10955" s="5" t="n">
        <v>31.7</v>
      </c>
      <c r="F10955" s="3" t="inlineStr">
        <is>
          <t>전의면</t>
        </is>
      </c>
      <c r="G10955" s="3" t="inlineStr">
        <is>
          <t>읍내리</t>
        </is>
      </c>
      <c r="H10955" s="3" t="inlineStr">
        <is>
          <t>자연녹지지역</t>
        </is>
      </c>
      <c r="I10955" s="3" t="inlineStr">
        <is>
          <t>임야</t>
        </is>
      </c>
      <c r="J10955" s="3" t="inlineStr">
        <is>
          <t>전의면</t>
        </is>
      </c>
    </row>
    <row r="10956">
      <c r="A10956" s="3" t="n">
        <v>2022</v>
      </c>
      <c r="B10956" s="4" t="n">
        <v>7500</v>
      </c>
      <c r="C10956" s="4" t="n">
        <v>826</v>
      </c>
      <c r="D10956" s="4" t="n">
        <v>249.865</v>
      </c>
      <c r="E10956" s="5" t="n">
        <v>30</v>
      </c>
      <c r="F10956" s="3" t="inlineStr">
        <is>
          <t>금남면</t>
        </is>
      </c>
      <c r="G10956" s="3" t="inlineStr">
        <is>
          <t>축산리</t>
        </is>
      </c>
      <c r="H10956" s="3" t="inlineStr">
        <is>
          <t>자연녹지지역</t>
        </is>
      </c>
      <c r="I10956" s="3" t="inlineStr">
        <is>
          <t>전</t>
        </is>
      </c>
      <c r="J10956" s="3" t="inlineStr">
        <is>
          <t>금남면</t>
        </is>
      </c>
    </row>
    <row r="10957">
      <c r="A10957" s="3" t="n">
        <v>2022</v>
      </c>
      <c r="B10957" s="4" t="n">
        <v>32100</v>
      </c>
      <c r="C10957" s="4" t="n">
        <v>1768</v>
      </c>
      <c r="D10957" s="4" t="n">
        <v>534.8199999999999</v>
      </c>
      <c r="E10957" s="5" t="n">
        <v>60</v>
      </c>
      <c r="F10957" s="3" t="inlineStr">
        <is>
          <t>금남면</t>
        </is>
      </c>
      <c r="G10957" s="3" t="inlineStr">
        <is>
          <t>달전리</t>
        </is>
      </c>
      <c r="H10957" s="3" t="inlineStr">
        <is>
          <t>개발제한구역</t>
        </is>
      </c>
      <c r="I10957" s="3" t="inlineStr">
        <is>
          <t>답</t>
        </is>
      </c>
      <c r="J10957" s="3" t="inlineStr">
        <is>
          <t>금남면</t>
        </is>
      </c>
    </row>
    <row r="10958">
      <c r="A10958" s="3" t="n">
        <v>2022</v>
      </c>
      <c r="B10958" s="4" t="n">
        <v>18200</v>
      </c>
      <c r="C10958" s="4" t="n">
        <v>386</v>
      </c>
      <c r="D10958" s="4" t="n">
        <v>116.765</v>
      </c>
      <c r="E10958" s="5" t="n">
        <v>155.9</v>
      </c>
      <c r="F10958" s="3" t="inlineStr">
        <is>
          <t>전동면</t>
        </is>
      </c>
      <c r="G10958" s="3" t="inlineStr">
        <is>
          <t>노장리</t>
        </is>
      </c>
      <c r="H10958" s="3" t="inlineStr">
        <is>
          <t>계획관리지역</t>
        </is>
      </c>
      <c r="I10958" s="3" t="inlineStr">
        <is>
          <t>대</t>
        </is>
      </c>
      <c r="J10958" s="3" t="inlineStr">
        <is>
          <t>전동면</t>
        </is>
      </c>
    </row>
    <row r="10959">
      <c r="A10959" s="3" t="n">
        <v>2022</v>
      </c>
      <c r="B10959" s="4" t="n">
        <v>8800</v>
      </c>
      <c r="C10959" s="4" t="n">
        <v>187</v>
      </c>
      <c r="D10959" s="4" t="n">
        <v>56.5675</v>
      </c>
      <c r="E10959" s="5" t="n">
        <v>155.6</v>
      </c>
      <c r="F10959" s="3" t="inlineStr">
        <is>
          <t>전동면</t>
        </is>
      </c>
      <c r="G10959" s="3" t="inlineStr">
        <is>
          <t>노장리</t>
        </is>
      </c>
      <c r="H10959" s="3" t="inlineStr">
        <is>
          <t>계획관리지역</t>
        </is>
      </c>
      <c r="I10959" s="3" t="inlineStr">
        <is>
          <t>임야</t>
        </is>
      </c>
      <c r="J10959" s="3" t="inlineStr">
        <is>
          <t>전동면</t>
        </is>
      </c>
    </row>
    <row r="10960">
      <c r="A10960" s="3" t="n">
        <v>2022</v>
      </c>
      <c r="B10960" s="4" t="n">
        <v>21800</v>
      </c>
      <c r="C10960" s="4" t="n">
        <v>463</v>
      </c>
      <c r="D10960" s="4" t="n">
        <v>140.0575</v>
      </c>
      <c r="E10960" s="5" t="n">
        <v>155.7</v>
      </c>
      <c r="F10960" s="3" t="inlineStr">
        <is>
          <t>전동면</t>
        </is>
      </c>
      <c r="G10960" s="3" t="inlineStr">
        <is>
          <t>노장리</t>
        </is>
      </c>
      <c r="H10960" s="3" t="inlineStr">
        <is>
          <t>계획관리지역</t>
        </is>
      </c>
      <c r="I10960" s="3" t="inlineStr">
        <is>
          <t>임야</t>
        </is>
      </c>
      <c r="J10960" s="3" t="inlineStr">
        <is>
          <t>전동면</t>
        </is>
      </c>
    </row>
    <row r="10961">
      <c r="A10961" s="3" t="n">
        <v>2022</v>
      </c>
      <c r="B10961" s="4" t="n">
        <v>174800</v>
      </c>
      <c r="C10961" s="4" t="n">
        <v>3700</v>
      </c>
      <c r="D10961" s="4" t="n">
        <v>1119.25</v>
      </c>
      <c r="E10961" s="5" t="n">
        <v>156.2</v>
      </c>
      <c r="F10961" s="3" t="inlineStr">
        <is>
          <t>전동면</t>
        </is>
      </c>
      <c r="G10961" s="3" t="inlineStr">
        <is>
          <t>노장리</t>
        </is>
      </c>
      <c r="H10961" s="3" t="inlineStr">
        <is>
          <t>계획관리지역</t>
        </is>
      </c>
      <c r="I10961" s="3" t="inlineStr">
        <is>
          <t>전</t>
        </is>
      </c>
      <c r="J10961" s="3" t="inlineStr">
        <is>
          <t>전동면</t>
        </is>
      </c>
    </row>
    <row r="10962">
      <c r="A10962" s="3" t="n">
        <v>2022</v>
      </c>
      <c r="B10962" s="4" t="n">
        <v>90300</v>
      </c>
      <c r="C10962" s="4" t="n">
        <v>1911</v>
      </c>
      <c r="D10962" s="4" t="n">
        <v>578.0775</v>
      </c>
      <c r="E10962" s="5" t="n">
        <v>156.2</v>
      </c>
      <c r="F10962" s="3" t="inlineStr">
        <is>
          <t>전동면</t>
        </is>
      </c>
      <c r="G10962" s="3" t="inlineStr">
        <is>
          <t>노장리</t>
        </is>
      </c>
      <c r="H10962" s="3" t="inlineStr">
        <is>
          <t>계획관리지역</t>
        </is>
      </c>
      <c r="I10962" s="3" t="inlineStr">
        <is>
          <t>전</t>
        </is>
      </c>
      <c r="J10962" s="3" t="inlineStr">
        <is>
          <t>전동면</t>
        </is>
      </c>
    </row>
    <row r="10963">
      <c r="A10963" s="3" t="n">
        <v>2022</v>
      </c>
      <c r="B10963" s="4" t="n">
        <v>13500</v>
      </c>
      <c r="C10963" s="4" t="n">
        <v>285</v>
      </c>
      <c r="D10963" s="4" t="n">
        <v>86.21249999999999</v>
      </c>
      <c r="E10963" s="5" t="n">
        <v>156.6</v>
      </c>
      <c r="F10963" s="3" t="inlineStr">
        <is>
          <t>전동면</t>
        </is>
      </c>
      <c r="G10963" s="3" t="inlineStr">
        <is>
          <t>노장리</t>
        </is>
      </c>
      <c r="H10963" s="3" t="inlineStr">
        <is>
          <t>계획관리지역</t>
        </is>
      </c>
      <c r="I10963" s="3" t="inlineStr">
        <is>
          <t>전</t>
        </is>
      </c>
      <c r="J10963" s="3" t="inlineStr">
        <is>
          <t>전동면</t>
        </is>
      </c>
    </row>
    <row r="10964">
      <c r="A10964" s="3" t="n">
        <v>2022</v>
      </c>
      <c r="B10964" s="4" t="n">
        <v>3113</v>
      </c>
      <c r="C10964" s="4" t="n">
        <v>793</v>
      </c>
      <c r="D10964" s="4" t="n">
        <v>239.8825</v>
      </c>
      <c r="E10964" s="5" t="n">
        <v>13</v>
      </c>
      <c r="F10964" s="3" t="inlineStr">
        <is>
          <t>유구읍</t>
        </is>
      </c>
      <c r="G10964" s="3" t="inlineStr">
        <is>
          <t>구계리</t>
        </is>
      </c>
      <c r="H10964" s="3" t="inlineStr">
        <is>
          <t>계획관리지역</t>
        </is>
      </c>
      <c r="I10964" s="3" t="inlineStr">
        <is>
          <t>답</t>
        </is>
      </c>
      <c r="J10964" s="3" t="inlineStr">
        <is>
          <t>유구읍</t>
        </is>
      </c>
    </row>
    <row r="10965">
      <c r="A10965" s="3" t="n">
        <v>2022</v>
      </c>
      <c r="B10965" s="4" t="n">
        <v>2971</v>
      </c>
      <c r="C10965" s="4" t="n">
        <v>757</v>
      </c>
      <c r="D10965" s="4" t="n">
        <v>228.9925</v>
      </c>
      <c r="E10965" s="5" t="n">
        <v>13</v>
      </c>
      <c r="F10965" s="3" t="inlineStr">
        <is>
          <t>유구읍</t>
        </is>
      </c>
      <c r="G10965" s="3" t="inlineStr">
        <is>
          <t>구계리</t>
        </is>
      </c>
      <c r="H10965" s="3" t="inlineStr">
        <is>
          <t>계획관리지역</t>
        </is>
      </c>
      <c r="I10965" s="3" t="inlineStr">
        <is>
          <t>답</t>
        </is>
      </c>
      <c r="J10965" s="3" t="inlineStr">
        <is>
          <t>유구읍</t>
        </is>
      </c>
    </row>
    <row r="10966">
      <c r="A10966" s="3" t="n">
        <v>2022</v>
      </c>
      <c r="B10966" s="4" t="n">
        <v>11400</v>
      </c>
      <c r="C10966" s="4" t="n">
        <v>241</v>
      </c>
      <c r="D10966" s="4" t="n">
        <v>72.9025</v>
      </c>
      <c r="E10966" s="5" t="n">
        <v>156.4</v>
      </c>
      <c r="F10966" s="3" t="inlineStr">
        <is>
          <t>전동면</t>
        </is>
      </c>
      <c r="G10966" s="3" t="inlineStr">
        <is>
          <t>노장리</t>
        </is>
      </c>
      <c r="H10966" s="3" t="inlineStr">
        <is>
          <t>계획관리지역</t>
        </is>
      </c>
      <c r="I10966" s="3" t="inlineStr">
        <is>
          <t>전</t>
        </is>
      </c>
      <c r="J10966" s="3" t="inlineStr">
        <is>
          <t>전동면</t>
        </is>
      </c>
    </row>
    <row r="10967">
      <c r="A10967" s="3" t="n">
        <v>2025</v>
      </c>
      <c r="B10967" s="4" t="n">
        <v>7652</v>
      </c>
      <c r="C10967" s="4" t="n">
        <v>188</v>
      </c>
      <c r="D10967" s="4" t="n">
        <v>56.87</v>
      </c>
      <c r="E10967" s="5" t="n">
        <v>134.6</v>
      </c>
      <c r="F10967" s="3" t="inlineStr">
        <is>
          <t>전의면</t>
        </is>
      </c>
      <c r="G10967" s="3" t="inlineStr">
        <is>
          <t>영당리</t>
        </is>
      </c>
      <c r="H10967" s="3" t="inlineStr">
        <is>
          <t>계획관리지역</t>
        </is>
      </c>
      <c r="I10967" s="3" t="inlineStr">
        <is>
          <t>공장용지</t>
        </is>
      </c>
      <c r="J10967" s="3" t="inlineStr">
        <is>
          <t>전의면</t>
        </is>
      </c>
    </row>
    <row r="10968">
      <c r="A10968" s="3" t="n">
        <v>2025</v>
      </c>
      <c r="B10968" s="4" t="n">
        <v>15000</v>
      </c>
      <c r="C10968" s="4" t="n">
        <v>522</v>
      </c>
      <c r="D10968" s="4" t="n">
        <v>157.905</v>
      </c>
      <c r="E10968" s="5" t="n">
        <v>95</v>
      </c>
      <c r="F10968" s="3" t="inlineStr">
        <is>
          <t>조치원읍</t>
        </is>
      </c>
      <c r="G10968" s="3" t="inlineStr">
        <is>
          <t>봉산리</t>
        </is>
      </c>
      <c r="H10968" s="3" t="inlineStr">
        <is>
          <t>자연녹지지역</t>
        </is>
      </c>
      <c r="I10968" s="3" t="inlineStr">
        <is>
          <t>대</t>
        </is>
      </c>
      <c r="J10968" s="3" t="inlineStr">
        <is>
          <t>조치원읍</t>
        </is>
      </c>
    </row>
    <row r="10969">
      <c r="A10969" s="3" t="n">
        <v>2025</v>
      </c>
      <c r="B10969" s="4" t="n">
        <v>8187</v>
      </c>
      <c r="C10969" s="4" t="n">
        <v>982</v>
      </c>
      <c r="D10969" s="4" t="n">
        <v>297.055</v>
      </c>
      <c r="E10969" s="5" t="n">
        <v>27.6</v>
      </c>
      <c r="F10969" s="3" t="inlineStr">
        <is>
          <t>전의면</t>
        </is>
      </c>
      <c r="G10969" s="3" t="inlineStr">
        <is>
          <t>원성리</t>
        </is>
      </c>
      <c r="H10969" s="3" t="inlineStr">
        <is>
          <t>농림지역</t>
        </is>
      </c>
      <c r="I10969" s="3" t="inlineStr">
        <is>
          <t>답</t>
        </is>
      </c>
      <c r="J10969" s="3" t="inlineStr">
        <is>
          <t>전의면</t>
        </is>
      </c>
    </row>
    <row r="10970">
      <c r="A10970" s="3" t="n">
        <v>2025</v>
      </c>
      <c r="B10970" s="4" t="n">
        <v>9813</v>
      </c>
      <c r="C10970" s="4" t="n">
        <v>1177</v>
      </c>
      <c r="D10970" s="4" t="n">
        <v>356.0425</v>
      </c>
      <c r="E10970" s="5" t="n">
        <v>27.6</v>
      </c>
      <c r="F10970" s="3" t="inlineStr">
        <is>
          <t>전의면</t>
        </is>
      </c>
      <c r="G10970" s="3" t="inlineStr">
        <is>
          <t>원성리</t>
        </is>
      </c>
      <c r="H10970" s="3" t="inlineStr">
        <is>
          <t>농림지역</t>
        </is>
      </c>
      <c r="I10970" s="3" t="inlineStr">
        <is>
          <t>답</t>
        </is>
      </c>
      <c r="J10970" s="3" t="inlineStr">
        <is>
          <t>전의면</t>
        </is>
      </c>
    </row>
    <row r="10971">
      <c r="A10971" s="3" t="n">
        <v>2025</v>
      </c>
      <c r="B10971" s="4" t="n">
        <v>29500</v>
      </c>
      <c r="C10971" s="4" t="n">
        <v>912</v>
      </c>
      <c r="D10971" s="4" t="n">
        <v>275.88</v>
      </c>
      <c r="E10971" s="5" t="n">
        <v>106.9</v>
      </c>
      <c r="F10971" s="3" t="inlineStr">
        <is>
          <t>장군면</t>
        </is>
      </c>
      <c r="G10971" s="3" t="inlineStr">
        <is>
          <t>하봉리</t>
        </is>
      </c>
      <c r="H10971" s="3" t="inlineStr">
        <is>
          <t>계획관리지역</t>
        </is>
      </c>
      <c r="I10971" s="3" t="inlineStr">
        <is>
          <t>잡종지</t>
        </is>
      </c>
      <c r="J10971" s="3" t="inlineStr">
        <is>
          <t>장군면</t>
        </is>
      </c>
    </row>
    <row r="10972">
      <c r="A10972" s="3" t="n">
        <v>2025</v>
      </c>
      <c r="B10972" s="4" t="n">
        <v>1500</v>
      </c>
      <c r="C10972" s="4" t="n">
        <v>50</v>
      </c>
      <c r="D10972" s="4" t="n">
        <v>15.125</v>
      </c>
      <c r="E10972" s="5" t="n">
        <v>99.2</v>
      </c>
      <c r="F10972" s="3" t="inlineStr">
        <is>
          <t>연서면</t>
        </is>
      </c>
      <c r="G10972" s="3" t="inlineStr">
        <is>
          <t>청라리</t>
        </is>
      </c>
      <c r="H10972" s="3" t="inlineStr">
        <is>
          <t>계획관리지역</t>
        </is>
      </c>
      <c r="I10972" s="3" t="inlineStr">
        <is>
          <t>대</t>
        </is>
      </c>
      <c r="J10972" s="3" t="inlineStr">
        <is>
          <t>연서면</t>
        </is>
      </c>
    </row>
    <row r="10973">
      <c r="A10973" s="3" t="n">
        <v>2025</v>
      </c>
      <c r="B10973" s="4" t="n">
        <v>53000</v>
      </c>
      <c r="C10973" s="4" t="n">
        <v>3357.6</v>
      </c>
      <c r="D10973" s="4" t="n">
        <v>1015.674</v>
      </c>
      <c r="E10973" s="5" t="n">
        <v>52.2</v>
      </c>
      <c r="F10973" s="3" t="inlineStr">
        <is>
          <t>연동면</t>
        </is>
      </c>
      <c r="G10973" s="3" t="inlineStr">
        <is>
          <t>문주리</t>
        </is>
      </c>
      <c r="H10973" s="3" t="inlineStr">
        <is>
          <t>농림지역</t>
        </is>
      </c>
      <c r="I10973" s="3" t="inlineStr">
        <is>
          <t>답</t>
        </is>
      </c>
      <c r="J10973" s="3" t="inlineStr">
        <is>
          <t>연동면</t>
        </is>
      </c>
    </row>
    <row r="10974">
      <c r="A10974" s="3" t="n">
        <v>2022</v>
      </c>
      <c r="B10974" s="4" t="n">
        <v>1560</v>
      </c>
      <c r="C10974" s="4" t="n">
        <v>608</v>
      </c>
      <c r="D10974" s="4" t="n">
        <v>183.92</v>
      </c>
      <c r="E10974" s="5" t="n">
        <v>8.5</v>
      </c>
      <c r="F10974" s="3" t="inlineStr">
        <is>
          <t>유구읍</t>
        </is>
      </c>
      <c r="G10974" s="3" t="inlineStr">
        <is>
          <t>명곡리</t>
        </is>
      </c>
      <c r="H10974" s="3" t="inlineStr">
        <is>
          <t>계획관리지역</t>
        </is>
      </c>
      <c r="I10974" s="3" t="inlineStr">
        <is>
          <t>답</t>
        </is>
      </c>
      <c r="J10974" s="3" t="inlineStr">
        <is>
          <t>유구읍</t>
        </is>
      </c>
    </row>
    <row r="10975">
      <c r="A10975" s="3" t="n">
        <v>2022</v>
      </c>
      <c r="B10975" s="4" t="n">
        <v>1450</v>
      </c>
      <c r="C10975" s="4" t="n">
        <v>565</v>
      </c>
      <c r="D10975" s="4" t="n">
        <v>170.9125</v>
      </c>
      <c r="E10975" s="5" t="n">
        <v>8.5</v>
      </c>
      <c r="F10975" s="3" t="inlineStr">
        <is>
          <t>유구읍</t>
        </is>
      </c>
      <c r="G10975" s="3" t="inlineStr">
        <is>
          <t>명곡리</t>
        </is>
      </c>
      <c r="H10975" s="3" t="inlineStr">
        <is>
          <t>계획관리지역</t>
        </is>
      </c>
      <c r="I10975" s="3" t="inlineStr">
        <is>
          <t>답</t>
        </is>
      </c>
      <c r="J10975" s="3" t="inlineStr">
        <is>
          <t>유구읍</t>
        </is>
      </c>
    </row>
    <row r="10976">
      <c r="A10976" s="3" t="n">
        <v>2022</v>
      </c>
      <c r="B10976" s="4" t="n">
        <v>490</v>
      </c>
      <c r="C10976" s="4" t="n">
        <v>208</v>
      </c>
      <c r="D10976" s="4" t="n">
        <v>62.92</v>
      </c>
      <c r="E10976" s="5" t="n">
        <v>7.8</v>
      </c>
      <c r="F10976" s="3" t="inlineStr">
        <is>
          <t>유구읍</t>
        </is>
      </c>
      <c r="G10976" s="3" t="inlineStr">
        <is>
          <t>명곡리</t>
        </is>
      </c>
      <c r="H10976" s="3" t="inlineStr">
        <is>
          <t>계획관리지역</t>
        </is>
      </c>
      <c r="I10976" s="3" t="inlineStr">
        <is>
          <t>전</t>
        </is>
      </c>
      <c r="J10976" s="3" t="inlineStr">
        <is>
          <t>유구읍</t>
        </is>
      </c>
    </row>
    <row r="10977">
      <c r="A10977" s="3" t="n">
        <v>2022</v>
      </c>
      <c r="B10977" s="4" t="n">
        <v>192</v>
      </c>
      <c r="C10977" s="4" t="n">
        <v>635</v>
      </c>
      <c r="D10977" s="4" t="n">
        <v>192.0875</v>
      </c>
      <c r="E10977" s="5" t="n">
        <v>1</v>
      </c>
      <c r="F10977" s="3" t="inlineStr">
        <is>
          <t>유구읍</t>
        </is>
      </c>
      <c r="G10977" s="3" t="inlineStr">
        <is>
          <t>만천리</t>
        </is>
      </c>
      <c r="H10977" s="3" t="inlineStr">
        <is>
          <t>계획관리지역</t>
        </is>
      </c>
      <c r="I10977" s="3" t="inlineStr">
        <is>
          <t>전</t>
        </is>
      </c>
      <c r="J10977" s="3" t="inlineStr">
        <is>
          <t>유구읍</t>
        </is>
      </c>
    </row>
    <row r="10978">
      <c r="A10978" s="3" t="n">
        <v>2022</v>
      </c>
      <c r="B10978" s="4" t="n">
        <v>1485</v>
      </c>
      <c r="C10978" s="4" t="n">
        <v>4910</v>
      </c>
      <c r="D10978" s="4" t="n">
        <v>1485.275</v>
      </c>
      <c r="E10978" s="5" t="n">
        <v>1</v>
      </c>
      <c r="F10978" s="3" t="inlineStr">
        <is>
          <t>유구읍</t>
        </is>
      </c>
      <c r="G10978" s="3" t="inlineStr">
        <is>
          <t>만천리</t>
        </is>
      </c>
      <c r="H10978" s="3" t="inlineStr">
        <is>
          <t>계획관리지역</t>
        </is>
      </c>
      <c r="I10978" s="3" t="inlineStr">
        <is>
          <t>임야</t>
        </is>
      </c>
      <c r="J10978" s="3" t="inlineStr">
        <is>
          <t>유구읍</t>
        </is>
      </c>
    </row>
    <row r="10979">
      <c r="A10979" s="3" t="n">
        <v>2022</v>
      </c>
      <c r="B10979" s="4" t="n">
        <v>10199</v>
      </c>
      <c r="C10979" s="4" t="n">
        <v>2833</v>
      </c>
      <c r="D10979" s="4" t="n">
        <v>856.9825</v>
      </c>
      <c r="E10979" s="5" t="n">
        <v>11.9</v>
      </c>
      <c r="F10979" s="3" t="inlineStr">
        <is>
          <t>유구읍</t>
        </is>
      </c>
      <c r="G10979" s="3" t="inlineStr">
        <is>
          <t>신영리</t>
        </is>
      </c>
      <c r="H10979" s="3" t="inlineStr">
        <is>
          <t>농림지역</t>
        </is>
      </c>
      <c r="I10979" s="3" t="inlineStr">
        <is>
          <t>답</t>
        </is>
      </c>
      <c r="J10979" s="3" t="inlineStr">
        <is>
          <t>유구읍</t>
        </is>
      </c>
    </row>
    <row r="10980">
      <c r="A10980" s="3" t="n">
        <v>2022</v>
      </c>
      <c r="B10980" s="4" t="n">
        <v>4324</v>
      </c>
      <c r="C10980" s="4" t="n">
        <v>1201</v>
      </c>
      <c r="D10980" s="4" t="n">
        <v>363.3025</v>
      </c>
      <c r="E10980" s="5" t="n">
        <v>11.9</v>
      </c>
      <c r="F10980" s="3" t="inlineStr">
        <is>
          <t>유구읍</t>
        </is>
      </c>
      <c r="G10980" s="3" t="inlineStr">
        <is>
          <t>신영리</t>
        </is>
      </c>
      <c r="H10980" s="3" t="inlineStr">
        <is>
          <t>농림지역</t>
        </is>
      </c>
      <c r="I10980" s="3" t="inlineStr">
        <is>
          <t>답</t>
        </is>
      </c>
      <c r="J10980" s="3" t="inlineStr">
        <is>
          <t>유구읍</t>
        </is>
      </c>
    </row>
    <row r="10981">
      <c r="A10981" s="3" t="n">
        <v>2022</v>
      </c>
      <c r="B10981" s="4" t="n">
        <v>500</v>
      </c>
      <c r="C10981" s="4" t="n">
        <v>665</v>
      </c>
      <c r="D10981" s="4" t="n">
        <v>201.1625</v>
      </c>
      <c r="E10981" s="5" t="n">
        <v>2.5</v>
      </c>
      <c r="F10981" s="3" t="inlineStr">
        <is>
          <t>유구읍</t>
        </is>
      </c>
      <c r="G10981" s="3" t="inlineStr">
        <is>
          <t>탑곡리</t>
        </is>
      </c>
      <c r="H10981" s="3" t="inlineStr">
        <is>
          <t>농림지역</t>
        </is>
      </c>
      <c r="I10981" s="3" t="inlineStr">
        <is>
          <t>임야</t>
        </is>
      </c>
      <c r="J10981" s="3" t="inlineStr">
        <is>
          <t>유구읍</t>
        </is>
      </c>
    </row>
    <row r="10982">
      <c r="A10982" s="3" t="n">
        <v>2022</v>
      </c>
      <c r="B10982" s="4" t="n">
        <v>1200</v>
      </c>
      <c r="C10982" s="4" t="n">
        <v>415</v>
      </c>
      <c r="D10982" s="4" t="n">
        <v>125.5375</v>
      </c>
      <c r="E10982" s="5" t="n">
        <v>9.6</v>
      </c>
      <c r="F10982" s="3" t="inlineStr">
        <is>
          <t>유구읍</t>
        </is>
      </c>
      <c r="G10982" s="3" t="inlineStr">
        <is>
          <t>명곡리</t>
        </is>
      </c>
      <c r="H10982" s="3" t="inlineStr">
        <is>
          <t>계획관리지역</t>
        </is>
      </c>
      <c r="I10982" s="3" t="inlineStr">
        <is>
          <t>대</t>
        </is>
      </c>
      <c r="J10982" s="3" t="inlineStr">
        <is>
          <t>유구읍</t>
        </is>
      </c>
    </row>
    <row r="10983">
      <c r="A10983" s="3" t="n">
        <v>2026</v>
      </c>
      <c r="B10983" s="4" t="n">
        <v>16063</v>
      </c>
      <c r="C10983" s="4" t="n">
        <v>450</v>
      </c>
      <c r="D10983" s="4" t="n">
        <v>136.125</v>
      </c>
      <c r="E10983" s="5" t="n">
        <v>118</v>
      </c>
      <c r="F10983" s="3" t="inlineStr">
        <is>
          <t>부강면</t>
        </is>
      </c>
      <c r="G10983" s="3" t="inlineStr">
        <is>
          <t>부강리</t>
        </is>
      </c>
      <c r="H10983" s="3" t="inlineStr">
        <is>
          <t>자연녹지지역</t>
        </is>
      </c>
      <c r="I10983" s="3" t="inlineStr">
        <is>
          <t>대</t>
        </is>
      </c>
      <c r="J10983" s="3" t="inlineStr">
        <is>
          <t>부강면</t>
        </is>
      </c>
    </row>
    <row r="10984">
      <c r="A10984" s="3" t="n">
        <v>2026</v>
      </c>
      <c r="B10984" s="4" t="n">
        <v>48633</v>
      </c>
      <c r="C10984" s="4" t="n">
        <v>3740.9</v>
      </c>
      <c r="D10984" s="4" t="n">
        <v>1131.62225</v>
      </c>
      <c r="E10984" s="5" t="n">
        <v>43</v>
      </c>
      <c r="F10984" s="3" t="inlineStr">
        <is>
          <t>연동면</t>
        </is>
      </c>
      <c r="G10984" s="3" t="inlineStr">
        <is>
          <t>응암리</t>
        </is>
      </c>
      <c r="H10984" s="3" t="inlineStr">
        <is>
          <t>농림지역</t>
        </is>
      </c>
      <c r="I10984" s="3" t="inlineStr">
        <is>
          <t>답</t>
        </is>
      </c>
      <c r="J10984" s="3" t="inlineStr">
        <is>
          <t>연동면</t>
        </is>
      </c>
    </row>
    <row r="10985">
      <c r="A10985" s="3" t="n">
        <v>2026</v>
      </c>
      <c r="B10985" s="4" t="n">
        <v>229000</v>
      </c>
      <c r="C10985" s="4" t="n">
        <v>2410</v>
      </c>
      <c r="D10985" s="4" t="n">
        <v>729.025</v>
      </c>
      <c r="E10985" s="5" t="n">
        <v>314.1</v>
      </c>
      <c r="F10985" s="3" t="inlineStr">
        <is>
          <t>연동면</t>
        </is>
      </c>
      <c r="G10985" s="3" t="inlineStr">
        <is>
          <t>문주리</t>
        </is>
      </c>
      <c r="H10985" s="3" t="inlineStr">
        <is>
          <t>계획관리지역</t>
        </is>
      </c>
      <c r="I10985" s="3" t="inlineStr">
        <is>
          <t>답</t>
        </is>
      </c>
      <c r="J10985" s="3" t="inlineStr">
        <is>
          <t>연동면</t>
        </is>
      </c>
    </row>
    <row r="10986">
      <c r="A10986" s="3" t="n">
        <v>2026</v>
      </c>
      <c r="B10986" s="4" t="n">
        <v>4000</v>
      </c>
      <c r="C10986" s="4" t="n">
        <v>810</v>
      </c>
      <c r="D10986" s="4" t="n">
        <v>245.025</v>
      </c>
      <c r="E10986" s="5" t="n">
        <v>16.3</v>
      </c>
      <c r="F10986" s="3" t="inlineStr">
        <is>
          <t>소정면</t>
        </is>
      </c>
      <c r="G10986" s="3" t="inlineStr">
        <is>
          <t>대곡리</t>
        </is>
      </c>
      <c r="H10986" s="3" t="inlineStr">
        <is>
          <t>계획관리지역</t>
        </is>
      </c>
      <c r="I10986" s="3" t="inlineStr">
        <is>
          <t>답</t>
        </is>
      </c>
      <c r="J10986" s="3" t="inlineStr">
        <is>
          <t>소정면</t>
        </is>
      </c>
    </row>
    <row r="10987">
      <c r="A10987" s="3" t="n">
        <v>2026</v>
      </c>
      <c r="B10987" s="4" t="n">
        <v>1750</v>
      </c>
      <c r="C10987" s="4" t="n">
        <v>132</v>
      </c>
      <c r="D10987" s="4" t="n">
        <v>39.93</v>
      </c>
      <c r="E10987" s="5" t="n">
        <v>43.8</v>
      </c>
      <c r="F10987" s="3" t="inlineStr">
        <is>
          <t>연기면</t>
        </is>
      </c>
      <c r="G10987" s="3" t="inlineStr">
        <is>
          <t>눌왕리</t>
        </is>
      </c>
      <c r="H10987" s="3" t="inlineStr">
        <is>
          <t>보전관리지역</t>
        </is>
      </c>
      <c r="I10987" s="3" t="inlineStr">
        <is>
          <t>임야</t>
        </is>
      </c>
      <c r="J10987" s="3" t="inlineStr">
        <is>
          <t>연기면</t>
        </is>
      </c>
    </row>
    <row r="10988">
      <c r="A10988" s="3" t="n">
        <v>2026</v>
      </c>
      <c r="B10988" s="4" t="n">
        <v>57000</v>
      </c>
      <c r="C10988" s="4" t="n">
        <v>740</v>
      </c>
      <c r="D10988" s="4" t="n">
        <v>223.85</v>
      </c>
      <c r="E10988" s="5" t="n">
        <v>254.6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계획관리지역</t>
        </is>
      </c>
      <c r="I10988" s="3" t="inlineStr">
        <is>
          <t>대</t>
        </is>
      </c>
      <c r="J10988" s="3" t="inlineStr">
        <is>
          <t>장군면</t>
        </is>
      </c>
    </row>
    <row r="10989">
      <c r="A10989" s="3" t="n">
        <v>2026</v>
      </c>
      <c r="B10989" s="4" t="n">
        <v>58650</v>
      </c>
      <c r="C10989" s="4" t="n">
        <v>2985</v>
      </c>
      <c r="D10989" s="4" t="n">
        <v>902.9625</v>
      </c>
      <c r="E10989" s="5" t="n">
        <v>65</v>
      </c>
      <c r="F10989" s="3" t="inlineStr">
        <is>
          <t>연서면</t>
        </is>
      </c>
      <c r="G10989" s="3" t="inlineStr">
        <is>
          <t>성제리</t>
        </is>
      </c>
      <c r="H10989" s="3" t="inlineStr">
        <is>
          <t>농림지역</t>
        </is>
      </c>
      <c r="I10989" s="3" t="inlineStr">
        <is>
          <t>답</t>
        </is>
      </c>
      <c r="J10989" s="3" t="inlineStr">
        <is>
          <t>연서면</t>
        </is>
      </c>
    </row>
    <row r="10990">
      <c r="A10990" s="3" t="n">
        <v>2026</v>
      </c>
      <c r="B10990" s="4" t="n">
        <v>12000</v>
      </c>
      <c r="C10990" s="4" t="n">
        <v>952</v>
      </c>
      <c r="D10990" s="4" t="n">
        <v>287.98</v>
      </c>
      <c r="E10990" s="5" t="n">
        <v>41.7</v>
      </c>
      <c r="F10990" s="3" t="inlineStr">
        <is>
          <t>전의면</t>
        </is>
      </c>
      <c r="G10990" s="3" t="inlineStr">
        <is>
          <t>서정리</t>
        </is>
      </c>
      <c r="H10990" s="3" t="inlineStr">
        <is>
          <t>계획관리지역</t>
        </is>
      </c>
      <c r="I10990" s="3" t="inlineStr">
        <is>
          <t>전</t>
        </is>
      </c>
      <c r="J10990" s="3" t="inlineStr">
        <is>
          <t>전의면</t>
        </is>
      </c>
    </row>
    <row r="10991">
      <c r="A10991" s="3" t="n">
        <v>2026</v>
      </c>
      <c r="B10991" s="4" t="n">
        <v>287140</v>
      </c>
      <c r="C10991" s="4" t="n">
        <v>27122</v>
      </c>
      <c r="D10991" s="4" t="n">
        <v>8204.405000000001</v>
      </c>
      <c r="E10991" s="5" t="n">
        <v>35</v>
      </c>
      <c r="F10991" s="3" t="inlineStr">
        <is>
          <t>장군면</t>
        </is>
      </c>
      <c r="G10991" s="3" t="inlineStr">
        <is>
          <t>송정리</t>
        </is>
      </c>
      <c r="H10991" s="3" t="inlineStr">
        <is>
          <t>보전관리지역</t>
        </is>
      </c>
      <c r="I10991" s="3" t="inlineStr">
        <is>
          <t>임야</t>
        </is>
      </c>
      <c r="J10991" s="3" t="inlineStr">
        <is>
          <t>장군면</t>
        </is>
      </c>
    </row>
    <row r="10992">
      <c r="A10992" s="3" t="n">
        <v>2026</v>
      </c>
      <c r="B10992" s="4" t="n">
        <v>36316</v>
      </c>
      <c r="C10992" s="4" t="n">
        <v>2760.7</v>
      </c>
      <c r="D10992" s="4" t="n">
        <v>835.1117499999999</v>
      </c>
      <c r="E10992" s="5" t="n">
        <v>43.5</v>
      </c>
      <c r="F10992" s="3" t="inlineStr">
        <is>
          <t>연동면</t>
        </is>
      </c>
      <c r="G10992" s="3" t="inlineStr">
        <is>
          <t>송용리</t>
        </is>
      </c>
      <c r="H10992" s="3" t="inlineStr">
        <is>
          <t>농림지역</t>
        </is>
      </c>
      <c r="I10992" s="3" t="inlineStr">
        <is>
          <t>답</t>
        </is>
      </c>
      <c r="J10992" s="3" t="inlineStr">
        <is>
          <t>연동면</t>
        </is>
      </c>
    </row>
    <row r="10993">
      <c r="A10993" s="3" t="n">
        <v>2026</v>
      </c>
      <c r="B10993" s="4" t="n">
        <v>36111</v>
      </c>
      <c r="C10993" s="4" t="n">
        <v>2743.5</v>
      </c>
      <c r="D10993" s="4" t="n">
        <v>829.9087499999999</v>
      </c>
      <c r="E10993" s="5" t="n">
        <v>43.5</v>
      </c>
      <c r="F10993" s="3" t="inlineStr">
        <is>
          <t>연동면</t>
        </is>
      </c>
      <c r="G10993" s="3" t="inlineStr">
        <is>
          <t>송용리</t>
        </is>
      </c>
      <c r="H10993" s="3" t="inlineStr">
        <is>
          <t>농림지역</t>
        </is>
      </c>
      <c r="I10993" s="3" t="inlineStr">
        <is>
          <t>답</t>
        </is>
      </c>
      <c r="J10993" s="3" t="inlineStr">
        <is>
          <t>연동면</t>
        </is>
      </c>
    </row>
    <row r="10994">
      <c r="A10994" s="3" t="n">
        <v>2026</v>
      </c>
      <c r="B10994" s="4" t="n">
        <v>48500</v>
      </c>
      <c r="C10994" s="4" t="n">
        <v>300.9</v>
      </c>
      <c r="D10994" s="4" t="n">
        <v>91.02224999999999</v>
      </c>
      <c r="E10994" s="5" t="n">
        <v>532.8</v>
      </c>
      <c r="F10994" s="3" t="inlineStr">
        <is>
          <t>해밀동</t>
        </is>
      </c>
      <c r="G10994" s="3" t="inlineStr"/>
      <c r="H10994" s="3" t="inlineStr">
        <is>
          <t>제1종전용주거지역</t>
        </is>
      </c>
      <c r="I10994" s="3" t="inlineStr">
        <is>
          <t>대</t>
        </is>
      </c>
      <c r="J10994" s="3" t="inlineStr">
        <is>
          <t>해밀동</t>
        </is>
      </c>
    </row>
    <row r="10995">
      <c r="A10995" s="3" t="n">
        <v>2026</v>
      </c>
      <c r="B10995" s="4" t="n">
        <v>3000</v>
      </c>
      <c r="C10995" s="4" t="n">
        <v>499</v>
      </c>
      <c r="D10995" s="4" t="n">
        <v>150.9475</v>
      </c>
      <c r="E10995" s="5" t="n">
        <v>19.9</v>
      </c>
      <c r="F10995" s="3" t="inlineStr">
        <is>
          <t>소정면</t>
        </is>
      </c>
      <c r="G10995" s="3" t="inlineStr">
        <is>
          <t>고등리</t>
        </is>
      </c>
      <c r="H10995" s="3" t="inlineStr">
        <is>
          <t>계획관리지역</t>
        </is>
      </c>
      <c r="I10995" s="3" t="inlineStr">
        <is>
          <t>전</t>
        </is>
      </c>
      <c r="J10995" s="3" t="inlineStr">
        <is>
          <t>소정면</t>
        </is>
      </c>
    </row>
    <row r="10996">
      <c r="A10996" s="3" t="n">
        <v>2026</v>
      </c>
      <c r="B10996" s="4" t="n">
        <v>6000</v>
      </c>
      <c r="C10996" s="4" t="n">
        <v>67</v>
      </c>
      <c r="D10996" s="4" t="n">
        <v>20.2675</v>
      </c>
      <c r="E10996" s="5" t="n">
        <v>296</v>
      </c>
      <c r="F10996" s="3" t="inlineStr">
        <is>
          <t>연서면</t>
        </is>
      </c>
      <c r="G10996" s="3" t="inlineStr">
        <is>
          <t>국촌리</t>
        </is>
      </c>
      <c r="H10996" s="3" t="inlineStr">
        <is>
          <t>계획관리지역</t>
        </is>
      </c>
      <c r="I10996" s="3" t="inlineStr">
        <is>
          <t>과수원</t>
        </is>
      </c>
      <c r="J10996" s="3" t="inlineStr">
        <is>
          <t>연서면</t>
        </is>
      </c>
    </row>
    <row r="10997">
      <c r="A10997" s="3" t="n">
        <v>2026</v>
      </c>
      <c r="B10997" s="4" t="n">
        <v>500</v>
      </c>
      <c r="C10997" s="4" t="n">
        <v>95</v>
      </c>
      <c r="D10997" s="4" t="n">
        <v>28.7375</v>
      </c>
      <c r="E10997" s="5" t="n">
        <v>17.4</v>
      </c>
      <c r="F10997" s="3" t="inlineStr">
        <is>
          <t>전의면</t>
        </is>
      </c>
      <c r="G10997" s="3" t="inlineStr">
        <is>
          <t>유천리</t>
        </is>
      </c>
      <c r="H10997" s="3" t="inlineStr">
        <is>
          <t>계획관리지역</t>
        </is>
      </c>
      <c r="I10997" s="3" t="inlineStr">
        <is>
          <t>임야</t>
        </is>
      </c>
      <c r="J10997" s="3" t="inlineStr">
        <is>
          <t>전의면</t>
        </is>
      </c>
    </row>
    <row r="10998">
      <c r="A10998" s="3" t="n">
        <v>2026</v>
      </c>
      <c r="B10998" s="4" t="n">
        <v>3950</v>
      </c>
      <c r="C10998" s="4" t="n">
        <v>238</v>
      </c>
      <c r="D10998" s="4" t="n">
        <v>71.995</v>
      </c>
      <c r="E10998" s="5" t="n">
        <v>54.9</v>
      </c>
      <c r="F10998" s="3" t="inlineStr">
        <is>
          <t>부강면</t>
        </is>
      </c>
      <c r="G10998" s="3" t="inlineStr">
        <is>
          <t>문곡리</t>
        </is>
      </c>
      <c r="H10998" s="3" t="inlineStr">
        <is>
          <t>계획관리지역</t>
        </is>
      </c>
      <c r="I10998" s="3" t="inlineStr">
        <is>
          <t>답</t>
        </is>
      </c>
      <c r="J10998" s="3" t="inlineStr">
        <is>
          <t>부강면</t>
        </is>
      </c>
    </row>
    <row r="10999">
      <c r="A10999" s="3" t="n">
        <v>2022</v>
      </c>
      <c r="B10999" s="4" t="n">
        <v>11200</v>
      </c>
      <c r="C10999" s="4" t="n">
        <v>237</v>
      </c>
      <c r="D10999" s="4" t="n">
        <v>71.6925</v>
      </c>
      <c r="E10999" s="5" t="n">
        <v>156.2</v>
      </c>
      <c r="F10999" s="3" t="inlineStr">
        <is>
          <t>전동면</t>
        </is>
      </c>
      <c r="G10999" s="3" t="inlineStr">
        <is>
          <t>노장리</t>
        </is>
      </c>
      <c r="H10999" s="3" t="inlineStr">
        <is>
          <t>계획관리지역</t>
        </is>
      </c>
      <c r="I10999" s="3" t="inlineStr">
        <is>
          <t>전</t>
        </is>
      </c>
      <c r="J10999" s="3" t="inlineStr">
        <is>
          <t>전동면</t>
        </is>
      </c>
    </row>
    <row r="11000">
      <c r="A11000" s="3" t="n">
        <v>2022</v>
      </c>
      <c r="B11000" s="4" t="n">
        <v>3000</v>
      </c>
      <c r="C11000" s="4" t="n">
        <v>63</v>
      </c>
      <c r="D11000" s="4" t="n">
        <v>19.0575</v>
      </c>
      <c r="E11000" s="5" t="n">
        <v>157.4</v>
      </c>
      <c r="F11000" s="3" t="inlineStr">
        <is>
          <t>전동면</t>
        </is>
      </c>
      <c r="G11000" s="3" t="inlineStr">
        <is>
          <t>노장리</t>
        </is>
      </c>
      <c r="H11000" s="3" t="inlineStr">
        <is>
          <t>계획관리지역</t>
        </is>
      </c>
      <c r="I11000" s="3" t="inlineStr">
        <is>
          <t>전</t>
        </is>
      </c>
      <c r="J11000" s="3" t="inlineStr">
        <is>
          <t>전동면</t>
        </is>
      </c>
    </row>
    <row r="11001">
      <c r="A11001" s="3" t="n">
        <v>2022</v>
      </c>
      <c r="B11001" s="4" t="n">
        <v>25000</v>
      </c>
      <c r="C11001" s="4" t="n">
        <v>360</v>
      </c>
      <c r="D11001" s="4" t="n">
        <v>108.9</v>
      </c>
      <c r="E11001" s="5" t="n">
        <v>229.6</v>
      </c>
      <c r="F11001" s="3" t="inlineStr">
        <is>
          <t>금남면</t>
        </is>
      </c>
      <c r="G11001" s="3" t="inlineStr">
        <is>
          <t>용담리</t>
        </is>
      </c>
      <c r="H11001" s="3" t="inlineStr">
        <is>
          <t>제1종일반주거지역</t>
        </is>
      </c>
      <c r="I11001" s="3" t="inlineStr">
        <is>
          <t>전</t>
        </is>
      </c>
      <c r="J11001" s="3" t="inlineStr">
        <is>
          <t>금남면</t>
        </is>
      </c>
    </row>
    <row r="11002">
      <c r="A11002" s="3" t="n">
        <v>2022</v>
      </c>
      <c r="B11002" s="4" t="n">
        <v>19228</v>
      </c>
      <c r="C11002" s="4" t="n">
        <v>368</v>
      </c>
      <c r="D11002" s="4" t="n">
        <v>111.32</v>
      </c>
      <c r="E11002" s="5" t="n">
        <v>172.7</v>
      </c>
      <c r="F11002" s="3" t="inlineStr">
        <is>
          <t>장군면</t>
        </is>
      </c>
      <c r="G11002" s="3" t="inlineStr">
        <is>
          <t>대교리</t>
        </is>
      </c>
      <c r="H11002" s="3" t="inlineStr">
        <is>
          <t>농림지역</t>
        </is>
      </c>
      <c r="I11002" s="3" t="inlineStr">
        <is>
          <t>대</t>
        </is>
      </c>
      <c r="J11002" s="3" t="inlineStr">
        <is>
          <t>장군면</t>
        </is>
      </c>
    </row>
    <row r="11003">
      <c r="A11003" s="3" t="n">
        <v>2022</v>
      </c>
      <c r="B11003" s="4" t="n">
        <v>13061</v>
      </c>
      <c r="C11003" s="4" t="n">
        <v>445</v>
      </c>
      <c r="D11003" s="4" t="n">
        <v>134.6125</v>
      </c>
      <c r="E11003" s="5" t="n">
        <v>97</v>
      </c>
      <c r="F11003" s="3" t="inlineStr">
        <is>
          <t>장군면</t>
        </is>
      </c>
      <c r="G11003" s="3" t="inlineStr">
        <is>
          <t>대교리</t>
        </is>
      </c>
      <c r="H11003" s="3" t="inlineStr">
        <is>
          <t>농림지역</t>
        </is>
      </c>
      <c r="I11003" s="3" t="inlineStr">
        <is>
          <t>전</t>
        </is>
      </c>
      <c r="J11003" s="3" t="inlineStr">
        <is>
          <t>장군면</t>
        </is>
      </c>
    </row>
    <row r="11004">
      <c r="A11004" s="3" t="n">
        <v>2022</v>
      </c>
      <c r="B11004" s="4" t="n">
        <v>3486</v>
      </c>
      <c r="C11004" s="4" t="n">
        <v>139</v>
      </c>
      <c r="D11004" s="4" t="n">
        <v>42.0475</v>
      </c>
      <c r="E11004" s="5" t="n">
        <v>82.90000000000001</v>
      </c>
      <c r="F11004" s="3" t="inlineStr">
        <is>
          <t>연동면</t>
        </is>
      </c>
      <c r="G11004" s="3" t="inlineStr">
        <is>
          <t>명학리</t>
        </is>
      </c>
      <c r="H11004" s="3" t="inlineStr">
        <is>
          <t>농림지역</t>
        </is>
      </c>
      <c r="I11004" s="3" t="inlineStr">
        <is>
          <t>대</t>
        </is>
      </c>
      <c r="J11004" s="3" t="inlineStr">
        <is>
          <t>연동면</t>
        </is>
      </c>
    </row>
    <row r="11005">
      <c r="A11005" s="3" t="n">
        <v>2022</v>
      </c>
      <c r="B11005" s="4" t="n">
        <v>40</v>
      </c>
      <c r="C11005" s="4" t="n">
        <v>3</v>
      </c>
      <c r="D11005" s="4" t="n">
        <v>0.9075</v>
      </c>
      <c r="E11005" s="5" t="n">
        <v>44.1</v>
      </c>
      <c r="F11005" s="3" t="inlineStr">
        <is>
          <t>조치원읍</t>
        </is>
      </c>
      <c r="G11005" s="3" t="inlineStr">
        <is>
          <t>평리</t>
        </is>
      </c>
      <c r="H11005" s="3" t="inlineStr">
        <is>
          <t>제2종일반주거지역</t>
        </is>
      </c>
      <c r="I11005" s="3" t="inlineStr">
        <is>
          <t>대</t>
        </is>
      </c>
      <c r="J11005" s="3" t="inlineStr">
        <is>
          <t>조치원읍</t>
        </is>
      </c>
    </row>
    <row r="11006">
      <c r="A11006" s="3" t="n">
        <v>2022</v>
      </c>
      <c r="B11006" s="4" t="n">
        <v>9800</v>
      </c>
      <c r="C11006" s="4" t="n">
        <v>595</v>
      </c>
      <c r="D11006" s="4" t="n">
        <v>179.9875</v>
      </c>
      <c r="E11006" s="5" t="n">
        <v>54.4</v>
      </c>
      <c r="F11006" s="3" t="inlineStr">
        <is>
          <t>연서면</t>
        </is>
      </c>
      <c r="G11006" s="3" t="inlineStr">
        <is>
          <t>성제리</t>
        </is>
      </c>
      <c r="H11006" s="3" t="inlineStr">
        <is>
          <t>계획관리지역</t>
        </is>
      </c>
      <c r="I11006" s="3" t="inlineStr">
        <is>
          <t>임야</t>
        </is>
      </c>
      <c r="J11006" s="3" t="inlineStr">
        <is>
          <t>연서면</t>
        </is>
      </c>
    </row>
    <row r="11007">
      <c r="A11007" s="3" t="n">
        <v>2022</v>
      </c>
      <c r="B11007" s="4" t="n">
        <v>125000</v>
      </c>
      <c r="C11007" s="4" t="n">
        <v>3560</v>
      </c>
      <c r="D11007" s="4" t="n">
        <v>1076.9</v>
      </c>
      <c r="E11007" s="5" t="n">
        <v>116.1</v>
      </c>
      <c r="F11007" s="3" t="inlineStr">
        <is>
          <t>장군면</t>
        </is>
      </c>
      <c r="G11007" s="3" t="inlineStr">
        <is>
          <t>하봉리</t>
        </is>
      </c>
      <c r="H11007" s="3" t="inlineStr">
        <is>
          <t>농림지역</t>
        </is>
      </c>
      <c r="I11007" s="3" t="inlineStr">
        <is>
          <t>답</t>
        </is>
      </c>
      <c r="J11007" s="3" t="inlineStr">
        <is>
          <t>장군면</t>
        </is>
      </c>
    </row>
    <row r="11008">
      <c r="A11008" s="3" t="n">
        <v>2022</v>
      </c>
      <c r="B11008" s="4" t="n">
        <v>8659</v>
      </c>
      <c r="C11008" s="4" t="n">
        <v>1145</v>
      </c>
      <c r="D11008" s="4" t="n">
        <v>346.3625</v>
      </c>
      <c r="E11008" s="5" t="n">
        <v>25</v>
      </c>
      <c r="F11008" s="3" t="inlineStr">
        <is>
          <t>장군면</t>
        </is>
      </c>
      <c r="G11008" s="3" t="inlineStr">
        <is>
          <t>금암리</t>
        </is>
      </c>
      <c r="H11008" s="3" t="inlineStr">
        <is>
          <t>농림지역</t>
        </is>
      </c>
      <c r="I11008" s="3" t="inlineStr">
        <is>
          <t>임야</t>
        </is>
      </c>
      <c r="J11008" s="3" t="inlineStr">
        <is>
          <t>장군면</t>
        </is>
      </c>
    </row>
    <row r="11009">
      <c r="A11009" s="3" t="n">
        <v>2022</v>
      </c>
      <c r="B11009" s="4" t="n">
        <v>5967</v>
      </c>
      <c r="C11009" s="4" t="n">
        <v>789</v>
      </c>
      <c r="D11009" s="4" t="n">
        <v>238.6725</v>
      </c>
      <c r="E11009" s="5" t="n">
        <v>25</v>
      </c>
      <c r="F11009" s="3" t="inlineStr">
        <is>
          <t>장군면</t>
        </is>
      </c>
      <c r="G11009" s="3" t="inlineStr">
        <is>
          <t>금암리</t>
        </is>
      </c>
      <c r="H11009" s="3" t="inlineStr">
        <is>
          <t>농림지역</t>
        </is>
      </c>
      <c r="I11009" s="3" t="inlineStr">
        <is>
          <t>임야</t>
        </is>
      </c>
      <c r="J11009" s="3" t="inlineStr">
        <is>
          <t>장군면</t>
        </is>
      </c>
    </row>
    <row r="11010">
      <c r="A11010" s="3" t="n">
        <v>2022</v>
      </c>
      <c r="B11010" s="4" t="n">
        <v>4227</v>
      </c>
      <c r="C11010" s="4" t="n">
        <v>559</v>
      </c>
      <c r="D11010" s="4" t="n">
        <v>169.0975</v>
      </c>
      <c r="E11010" s="5" t="n">
        <v>25</v>
      </c>
      <c r="F11010" s="3" t="inlineStr">
        <is>
          <t>장군면</t>
        </is>
      </c>
      <c r="G11010" s="3" t="inlineStr">
        <is>
          <t>금암리</t>
        </is>
      </c>
      <c r="H11010" s="3" t="inlineStr">
        <is>
          <t>농림지역</t>
        </is>
      </c>
      <c r="I11010" s="3" t="inlineStr">
        <is>
          <t>임야</t>
        </is>
      </c>
      <c r="J11010" s="3" t="inlineStr">
        <is>
          <t>장군면</t>
        </is>
      </c>
    </row>
    <row r="11011">
      <c r="A11011" s="3" t="n">
        <v>2022</v>
      </c>
      <c r="B11011" s="4" t="n">
        <v>37800</v>
      </c>
      <c r="C11011" s="4" t="n">
        <v>1923</v>
      </c>
      <c r="D11011" s="4" t="n">
        <v>581.7075</v>
      </c>
      <c r="E11011" s="5" t="n">
        <v>65</v>
      </c>
      <c r="F11011" s="3" t="inlineStr">
        <is>
          <t>장군면</t>
        </is>
      </c>
      <c r="G11011" s="3" t="inlineStr">
        <is>
          <t>금암리</t>
        </is>
      </c>
      <c r="H11011" s="3" t="inlineStr">
        <is>
          <t>농림지역</t>
        </is>
      </c>
      <c r="I11011" s="3" t="inlineStr">
        <is>
          <t>임야</t>
        </is>
      </c>
      <c r="J11011" s="3" t="inlineStr">
        <is>
          <t>장군면</t>
        </is>
      </c>
    </row>
    <row r="11012">
      <c r="A11012" s="3" t="n">
        <v>2022</v>
      </c>
      <c r="B11012" s="4" t="n">
        <v>56927</v>
      </c>
      <c r="C11012" s="4" t="n">
        <v>2896</v>
      </c>
      <c r="D11012" s="4" t="n">
        <v>876.04</v>
      </c>
      <c r="E11012" s="5" t="n">
        <v>65</v>
      </c>
      <c r="F11012" s="3" t="inlineStr">
        <is>
          <t>장군면</t>
        </is>
      </c>
      <c r="G11012" s="3" t="inlineStr">
        <is>
          <t>금암리</t>
        </is>
      </c>
      <c r="H11012" s="3" t="inlineStr">
        <is>
          <t>농림지역</t>
        </is>
      </c>
      <c r="I11012" s="3" t="inlineStr">
        <is>
          <t>임야</t>
        </is>
      </c>
      <c r="J11012" s="3" t="inlineStr">
        <is>
          <t>장군면</t>
        </is>
      </c>
    </row>
    <row r="11013">
      <c r="A11013" s="3" t="n">
        <v>2022</v>
      </c>
      <c r="B11013" s="4" t="n">
        <v>7600</v>
      </c>
      <c r="C11013" s="4" t="n">
        <v>201</v>
      </c>
      <c r="D11013" s="4" t="n">
        <v>60.80249999999999</v>
      </c>
      <c r="E11013" s="5" t="n">
        <v>125</v>
      </c>
      <c r="F11013" s="3" t="inlineStr">
        <is>
          <t>장군면</t>
        </is>
      </c>
      <c r="G11013" s="3" t="inlineStr">
        <is>
          <t>금암리</t>
        </is>
      </c>
      <c r="H11013" s="3" t="inlineStr">
        <is>
          <t>보전관리지역</t>
        </is>
      </c>
      <c r="I11013" s="3" t="inlineStr">
        <is>
          <t>임야</t>
        </is>
      </c>
      <c r="J11013" s="3" t="inlineStr">
        <is>
          <t>장군면</t>
        </is>
      </c>
    </row>
    <row r="11014">
      <c r="A11014" s="3" t="n">
        <v>2022</v>
      </c>
      <c r="B11014" s="4" t="n">
        <v>2860</v>
      </c>
      <c r="C11014" s="4" t="n">
        <v>146</v>
      </c>
      <c r="D11014" s="4" t="n">
        <v>44.165</v>
      </c>
      <c r="E11014" s="5" t="n">
        <v>64.8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농림지역</t>
        </is>
      </c>
      <c r="I11014" s="3" t="inlineStr">
        <is>
          <t>임야</t>
        </is>
      </c>
      <c r="J11014" s="3" t="inlineStr">
        <is>
          <t>장군면</t>
        </is>
      </c>
    </row>
    <row r="11015">
      <c r="A11015" s="3" t="n">
        <v>2022</v>
      </c>
      <c r="B11015" s="4" t="n">
        <v>520</v>
      </c>
      <c r="C11015" s="4" t="n">
        <v>25</v>
      </c>
      <c r="D11015" s="4" t="n">
        <v>7.5625</v>
      </c>
      <c r="E11015" s="5" t="n">
        <v>68.8</v>
      </c>
      <c r="F11015" s="3" t="inlineStr">
        <is>
          <t>장군면</t>
        </is>
      </c>
      <c r="G11015" s="3" t="inlineStr">
        <is>
          <t>금암리</t>
        </is>
      </c>
      <c r="H11015" s="3" t="inlineStr">
        <is>
          <t>농림지역</t>
        </is>
      </c>
      <c r="I11015" s="3" t="inlineStr">
        <is>
          <t>임야</t>
        </is>
      </c>
      <c r="J11015" s="3" t="inlineStr">
        <is>
          <t>장군면</t>
        </is>
      </c>
    </row>
    <row r="11016">
      <c r="A11016" s="3" t="n">
        <v>2022</v>
      </c>
      <c r="B11016" s="4" t="n">
        <v>7150</v>
      </c>
      <c r="C11016" s="4" t="n">
        <v>364</v>
      </c>
      <c r="D11016" s="4" t="n">
        <v>110.11</v>
      </c>
      <c r="E11016" s="5" t="n">
        <v>64.90000000000001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보전관리지역</t>
        </is>
      </c>
      <c r="I11016" s="3" t="inlineStr">
        <is>
          <t>임야</t>
        </is>
      </c>
      <c r="J11016" s="3" t="inlineStr">
        <is>
          <t>장군면</t>
        </is>
      </c>
    </row>
    <row r="11017">
      <c r="A11017" s="3" t="n">
        <v>2022</v>
      </c>
      <c r="B11017" s="4" t="n">
        <v>520</v>
      </c>
      <c r="C11017" s="4" t="n">
        <v>27</v>
      </c>
      <c r="D11017" s="4" t="n">
        <v>8.1675</v>
      </c>
      <c r="E11017" s="5" t="n">
        <v>63.7</v>
      </c>
      <c r="F11017" s="3" t="inlineStr">
        <is>
          <t>장군면</t>
        </is>
      </c>
      <c r="G11017" s="3" t="inlineStr">
        <is>
          <t>금암리</t>
        </is>
      </c>
      <c r="H11017" s="3" t="inlineStr">
        <is>
          <t>농림지역</t>
        </is>
      </c>
      <c r="I11017" s="3" t="inlineStr">
        <is>
          <t>임야</t>
        </is>
      </c>
      <c r="J11017" s="3" t="inlineStr">
        <is>
          <t>장군면</t>
        </is>
      </c>
    </row>
    <row r="11018">
      <c r="A11018" s="3" t="n">
        <v>2022</v>
      </c>
      <c r="B11018" s="4" t="n">
        <v>1600</v>
      </c>
      <c r="C11018" s="4" t="n">
        <v>28</v>
      </c>
      <c r="D11018" s="4" t="n">
        <v>8.469999999999999</v>
      </c>
      <c r="E11018" s="5" t="n">
        <v>188.9</v>
      </c>
      <c r="F11018" s="3" t="inlineStr">
        <is>
          <t>장군면</t>
        </is>
      </c>
      <c r="G11018" s="3" t="inlineStr">
        <is>
          <t>금암리</t>
        </is>
      </c>
      <c r="H11018" s="3" t="inlineStr">
        <is>
          <t>보전관리지역</t>
        </is>
      </c>
      <c r="I11018" s="3" t="inlineStr">
        <is>
          <t>임야</t>
        </is>
      </c>
      <c r="J11018" s="3" t="inlineStr">
        <is>
          <t>장군면</t>
        </is>
      </c>
    </row>
    <row r="11019">
      <c r="A11019" s="3" t="n">
        <v>2022</v>
      </c>
      <c r="B11019" s="4" t="n">
        <v>2500</v>
      </c>
      <c r="C11019" s="4" t="n">
        <v>400</v>
      </c>
      <c r="D11019" s="4" t="n">
        <v>121</v>
      </c>
      <c r="E11019" s="5" t="n">
        <v>20.7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농림지역</t>
        </is>
      </c>
      <c r="I11019" s="3" t="inlineStr">
        <is>
          <t>임야</t>
        </is>
      </c>
      <c r="J11019" s="3" t="inlineStr">
        <is>
          <t>장군면</t>
        </is>
      </c>
    </row>
    <row r="11020">
      <c r="A11020" s="3" t="n">
        <v>2022</v>
      </c>
      <c r="B11020" s="4" t="n">
        <v>19700</v>
      </c>
      <c r="C11020" s="4" t="n">
        <v>2605</v>
      </c>
      <c r="D11020" s="4" t="n">
        <v>788.0124999999999</v>
      </c>
      <c r="E11020" s="5" t="n">
        <v>25</v>
      </c>
      <c r="F11020" s="3" t="inlineStr">
        <is>
          <t>장군면</t>
        </is>
      </c>
      <c r="G11020" s="3" t="inlineStr">
        <is>
          <t>금암리</t>
        </is>
      </c>
      <c r="H11020" s="3" t="inlineStr">
        <is>
          <t>농림지역</t>
        </is>
      </c>
      <c r="I11020" s="3" t="inlineStr">
        <is>
          <t>임야</t>
        </is>
      </c>
      <c r="J11020" s="3" t="inlineStr">
        <is>
          <t>장군면</t>
        </is>
      </c>
    </row>
    <row r="11021">
      <c r="A11021" s="3" t="n">
        <v>2022</v>
      </c>
      <c r="B11021" s="4" t="n">
        <v>6340</v>
      </c>
      <c r="C11021" s="4" t="n">
        <v>838</v>
      </c>
      <c r="D11021" s="4" t="n">
        <v>253.495</v>
      </c>
      <c r="E11021" s="5" t="n">
        <v>25</v>
      </c>
      <c r="F11021" s="3" t="inlineStr">
        <is>
          <t>장군면</t>
        </is>
      </c>
      <c r="G11021" s="3" t="inlineStr">
        <is>
          <t>금암리</t>
        </is>
      </c>
      <c r="H11021" s="3" t="inlineStr">
        <is>
          <t>농림지역</t>
        </is>
      </c>
      <c r="I11021" s="3" t="inlineStr">
        <is>
          <t>임야</t>
        </is>
      </c>
      <c r="J11021" s="3" t="inlineStr">
        <is>
          <t>장군면</t>
        </is>
      </c>
    </row>
    <row r="11022">
      <c r="A11022" s="3" t="n">
        <v>2022</v>
      </c>
      <c r="B11022" s="4" t="n">
        <v>66365</v>
      </c>
      <c r="C11022" s="4" t="n">
        <v>3375</v>
      </c>
      <c r="D11022" s="4" t="n">
        <v>1020.9375</v>
      </c>
      <c r="E11022" s="5" t="n">
        <v>65</v>
      </c>
      <c r="F11022" s="3" t="inlineStr">
        <is>
          <t>장군면</t>
        </is>
      </c>
      <c r="G11022" s="3" t="inlineStr">
        <is>
          <t>금암리</t>
        </is>
      </c>
      <c r="H11022" s="3" t="inlineStr">
        <is>
          <t>농림지역</t>
        </is>
      </c>
      <c r="I11022" s="3" t="inlineStr">
        <is>
          <t>임야</t>
        </is>
      </c>
      <c r="J11022" s="3" t="inlineStr">
        <is>
          <t>장군면</t>
        </is>
      </c>
    </row>
    <row r="11023">
      <c r="A11023" s="3" t="n">
        <v>2022</v>
      </c>
      <c r="B11023" s="4" t="n">
        <v>6200</v>
      </c>
      <c r="C11023" s="4" t="n">
        <v>377</v>
      </c>
      <c r="D11023" s="4" t="n">
        <v>114.0425</v>
      </c>
      <c r="E11023" s="5" t="n">
        <v>54.4</v>
      </c>
      <c r="F11023" s="3" t="inlineStr">
        <is>
          <t>연서면</t>
        </is>
      </c>
      <c r="G11023" s="3" t="inlineStr">
        <is>
          <t>성제리</t>
        </is>
      </c>
      <c r="H11023" s="3" t="inlineStr">
        <is>
          <t>계획관리지역</t>
        </is>
      </c>
      <c r="I11023" s="3" t="inlineStr">
        <is>
          <t>전</t>
        </is>
      </c>
      <c r="J11023" s="3" t="inlineStr">
        <is>
          <t>연서면</t>
        </is>
      </c>
    </row>
    <row r="11024">
      <c r="A11024" s="3" t="n">
        <v>2022</v>
      </c>
      <c r="B11024" s="4" t="n">
        <v>50775</v>
      </c>
      <c r="C11024" s="4" t="n">
        <v>2238</v>
      </c>
      <c r="D11024" s="4" t="n">
        <v>676.995</v>
      </c>
      <c r="E11024" s="5" t="n">
        <v>75</v>
      </c>
      <c r="F11024" s="3" t="inlineStr">
        <is>
          <t>장군면</t>
        </is>
      </c>
      <c r="G11024" s="3" t="inlineStr">
        <is>
          <t>금암리</t>
        </is>
      </c>
      <c r="H11024" s="3" t="inlineStr">
        <is>
          <t>농림지역</t>
        </is>
      </c>
      <c r="I11024" s="3" t="inlineStr">
        <is>
          <t>임야</t>
        </is>
      </c>
      <c r="J11024" s="3" t="inlineStr">
        <is>
          <t>장군면</t>
        </is>
      </c>
    </row>
    <row r="11025">
      <c r="A11025" s="3" t="n">
        <v>2022</v>
      </c>
      <c r="B11025" s="4" t="n">
        <v>81150</v>
      </c>
      <c r="C11025" s="4" t="n">
        <v>3576</v>
      </c>
      <c r="D11025" s="4" t="n">
        <v>1081.74</v>
      </c>
      <c r="E11025" s="5" t="n">
        <v>75</v>
      </c>
      <c r="F11025" s="3" t="inlineStr">
        <is>
          <t>장군면</t>
        </is>
      </c>
      <c r="G11025" s="3" t="inlineStr">
        <is>
          <t>금암리</t>
        </is>
      </c>
      <c r="H11025" s="3" t="inlineStr">
        <is>
          <t>농림지역</t>
        </is>
      </c>
      <c r="I11025" s="3" t="inlineStr">
        <is>
          <t>임야</t>
        </is>
      </c>
      <c r="J11025" s="3" t="inlineStr">
        <is>
          <t>장군면</t>
        </is>
      </c>
    </row>
    <row r="11026">
      <c r="A11026" s="3" t="n">
        <v>2022</v>
      </c>
      <c r="B11026" s="4" t="n">
        <v>50000</v>
      </c>
      <c r="C11026" s="4" t="n">
        <v>3075</v>
      </c>
      <c r="D11026" s="4" t="n">
        <v>930.1875</v>
      </c>
      <c r="E11026" s="5" t="n">
        <v>53.8</v>
      </c>
      <c r="F11026" s="3" t="inlineStr">
        <is>
          <t>부강면</t>
        </is>
      </c>
      <c r="G11026" s="3" t="inlineStr">
        <is>
          <t>금호리</t>
        </is>
      </c>
      <c r="H11026" s="3" t="inlineStr">
        <is>
          <t>보전관리지역</t>
        </is>
      </c>
      <c r="I11026" s="3" t="inlineStr">
        <is>
          <t>임야</t>
        </is>
      </c>
      <c r="J11026" s="3" t="inlineStr">
        <is>
          <t>부강면</t>
        </is>
      </c>
    </row>
    <row r="11027">
      <c r="A11027" s="3" t="n">
        <v>2022</v>
      </c>
      <c r="B11027" s="4" t="n">
        <v>1300</v>
      </c>
      <c r="C11027" s="4" t="n">
        <v>271</v>
      </c>
      <c r="D11027" s="4" t="n">
        <v>81.97749999999999</v>
      </c>
      <c r="E11027" s="5" t="n">
        <v>15.9</v>
      </c>
      <c r="F11027" s="3" t="inlineStr">
        <is>
          <t>연동면</t>
        </is>
      </c>
      <c r="G11027" s="3" t="inlineStr">
        <is>
          <t>노송리</t>
        </is>
      </c>
      <c r="H11027" s="3" t="inlineStr">
        <is>
          <t>보전관리지역</t>
        </is>
      </c>
      <c r="I11027" s="3" t="inlineStr">
        <is>
          <t>임야</t>
        </is>
      </c>
      <c r="J11027" s="3" t="inlineStr">
        <is>
          <t>연동면</t>
        </is>
      </c>
    </row>
    <row r="11028">
      <c r="A11028" s="3" t="n">
        <v>2022</v>
      </c>
      <c r="B11028" s="4" t="n">
        <v>18000</v>
      </c>
      <c r="C11028" s="4" t="n">
        <v>1845</v>
      </c>
      <c r="D11028" s="4" t="n">
        <v>558.1125</v>
      </c>
      <c r="E11028" s="5" t="n">
        <v>32.3</v>
      </c>
      <c r="F11028" s="3" t="inlineStr">
        <is>
          <t>부강면</t>
        </is>
      </c>
      <c r="G11028" s="3" t="inlineStr">
        <is>
          <t>금호리</t>
        </is>
      </c>
      <c r="H11028" s="3" t="inlineStr">
        <is>
          <t>농림지역</t>
        </is>
      </c>
      <c r="I11028" s="3" t="inlineStr">
        <is>
          <t>답</t>
        </is>
      </c>
      <c r="J11028" s="3" t="inlineStr">
        <is>
          <t>부강면</t>
        </is>
      </c>
    </row>
    <row r="11029">
      <c r="A11029" s="3" t="n">
        <v>2022</v>
      </c>
      <c r="B11029" s="4" t="n">
        <v>28300</v>
      </c>
      <c r="C11029" s="4" t="n">
        <v>592</v>
      </c>
      <c r="D11029" s="4" t="n">
        <v>179.08</v>
      </c>
      <c r="E11029" s="5" t="n">
        <v>158</v>
      </c>
      <c r="F11029" s="3" t="inlineStr">
        <is>
          <t>금남면</t>
        </is>
      </c>
      <c r="G11029" s="3" t="inlineStr">
        <is>
          <t>달전리</t>
        </is>
      </c>
      <c r="H11029" s="3" t="inlineStr">
        <is>
          <t>개발제한구역</t>
        </is>
      </c>
      <c r="I11029" s="3" t="inlineStr">
        <is>
          <t>대</t>
        </is>
      </c>
      <c r="J11029" s="3" t="inlineStr">
        <is>
          <t>금남면</t>
        </is>
      </c>
    </row>
    <row r="11030">
      <c r="A11030" s="3" t="n">
        <v>2022</v>
      </c>
      <c r="B11030" s="4" t="n">
        <v>20700</v>
      </c>
      <c r="C11030" s="4" t="n">
        <v>1140</v>
      </c>
      <c r="D11030" s="4" t="n">
        <v>344.85</v>
      </c>
      <c r="E11030" s="5" t="n">
        <v>60</v>
      </c>
      <c r="F11030" s="3" t="inlineStr">
        <is>
          <t>금남면</t>
        </is>
      </c>
      <c r="G11030" s="3" t="inlineStr">
        <is>
          <t>달전리</t>
        </is>
      </c>
      <c r="H11030" s="3" t="inlineStr">
        <is>
          <t>개발제한구역</t>
        </is>
      </c>
      <c r="I11030" s="3" t="inlineStr">
        <is>
          <t>답</t>
        </is>
      </c>
      <c r="J11030" s="3" t="inlineStr">
        <is>
          <t>금남면</t>
        </is>
      </c>
    </row>
    <row r="11031">
      <c r="A11031" s="3" t="n">
        <v>2022</v>
      </c>
      <c r="B11031" s="4" t="n">
        <v>58800</v>
      </c>
      <c r="C11031" s="4" t="n">
        <v>19438</v>
      </c>
      <c r="D11031" s="4" t="n">
        <v>5879.995</v>
      </c>
      <c r="E11031" s="5" t="n">
        <v>10</v>
      </c>
      <c r="F11031" s="3" t="inlineStr">
        <is>
          <t>전의면</t>
        </is>
      </c>
      <c r="G11031" s="3" t="inlineStr">
        <is>
          <t>달전리</t>
        </is>
      </c>
      <c r="H11031" s="3" t="inlineStr">
        <is>
          <t>농림지역</t>
        </is>
      </c>
      <c r="I11031" s="3" t="inlineStr">
        <is>
          <t>임야</t>
        </is>
      </c>
      <c r="J11031" s="3" t="inlineStr">
        <is>
          <t>전의면</t>
        </is>
      </c>
    </row>
    <row r="11032">
      <c r="A11032" s="3" t="n">
        <v>2022</v>
      </c>
      <c r="B11032" s="4" t="n">
        <v>10000</v>
      </c>
      <c r="C11032" s="4" t="n">
        <v>806</v>
      </c>
      <c r="D11032" s="4" t="n">
        <v>243.815</v>
      </c>
      <c r="E11032" s="5" t="n">
        <v>41</v>
      </c>
      <c r="F11032" s="3" t="inlineStr">
        <is>
          <t>부강면</t>
        </is>
      </c>
      <c r="G11032" s="3" t="inlineStr">
        <is>
          <t>문곡리</t>
        </is>
      </c>
      <c r="H11032" s="3" t="inlineStr">
        <is>
          <t>계획관리지역</t>
        </is>
      </c>
      <c r="I11032" s="3" t="inlineStr">
        <is>
          <t>답</t>
        </is>
      </c>
      <c r="J11032" s="3" t="inlineStr">
        <is>
          <t>부강면</t>
        </is>
      </c>
    </row>
    <row r="11033">
      <c r="A11033" s="3" t="n">
        <v>2023</v>
      </c>
      <c r="B11033" s="4" t="n">
        <v>8100</v>
      </c>
      <c r="C11033" s="4" t="n">
        <v>977</v>
      </c>
      <c r="D11033" s="4" t="n">
        <v>295.5425</v>
      </c>
      <c r="E11033" s="5" t="n">
        <v>27.4</v>
      </c>
      <c r="F11033" s="3" t="inlineStr">
        <is>
          <t>전동면</t>
        </is>
      </c>
      <c r="G11033" s="3" t="inlineStr">
        <is>
          <t>봉대리</t>
        </is>
      </c>
      <c r="H11033" s="3" t="inlineStr">
        <is>
          <t>보전관리지역</t>
        </is>
      </c>
      <c r="I11033" s="3" t="inlineStr">
        <is>
          <t>전</t>
        </is>
      </c>
      <c r="J11033" s="3" t="inlineStr">
        <is>
          <t>전동면</t>
        </is>
      </c>
    </row>
    <row r="11034">
      <c r="A11034" s="3" t="n">
        <v>2023</v>
      </c>
      <c r="B11034" s="4" t="n">
        <v>12415</v>
      </c>
      <c r="C11034" s="4" t="n">
        <v>274</v>
      </c>
      <c r="D11034" s="4" t="n">
        <v>82.88499999999999</v>
      </c>
      <c r="E11034" s="5" t="n">
        <v>149.8</v>
      </c>
      <c r="F11034" s="3" t="inlineStr">
        <is>
          <t>전의면</t>
        </is>
      </c>
      <c r="G11034" s="3" t="inlineStr">
        <is>
          <t>서정리</t>
        </is>
      </c>
      <c r="H11034" s="3" t="inlineStr">
        <is>
          <t>농림지역</t>
        </is>
      </c>
      <c r="I11034" s="3" t="inlineStr">
        <is>
          <t>대</t>
        </is>
      </c>
      <c r="J11034" s="3" t="inlineStr">
        <is>
          <t>전의면</t>
        </is>
      </c>
    </row>
    <row r="11035">
      <c r="A11035" s="3" t="n">
        <v>2023</v>
      </c>
      <c r="B11035" s="4" t="n">
        <v>13955</v>
      </c>
      <c r="C11035" s="4" t="n">
        <v>308</v>
      </c>
      <c r="D11035" s="4" t="n">
        <v>93.17</v>
      </c>
      <c r="E11035" s="5" t="n">
        <v>149.8</v>
      </c>
      <c r="F11035" s="3" t="inlineStr">
        <is>
          <t>전의면</t>
        </is>
      </c>
      <c r="G11035" s="3" t="inlineStr">
        <is>
          <t>서정리</t>
        </is>
      </c>
      <c r="H11035" s="3" t="inlineStr">
        <is>
          <t>농림지역</t>
        </is>
      </c>
      <c r="I11035" s="3" t="inlineStr">
        <is>
          <t>대</t>
        </is>
      </c>
      <c r="J11035" s="3" t="inlineStr">
        <is>
          <t>전의면</t>
        </is>
      </c>
    </row>
    <row r="11036">
      <c r="A11036" s="3" t="n">
        <v>2023</v>
      </c>
      <c r="B11036" s="4" t="n">
        <v>1000</v>
      </c>
      <c r="C11036" s="4" t="n">
        <v>1035</v>
      </c>
      <c r="D11036" s="4" t="n">
        <v>313.0875</v>
      </c>
      <c r="E11036" s="5" t="n">
        <v>3.2</v>
      </c>
      <c r="F11036" s="3" t="inlineStr">
        <is>
          <t>전의면</t>
        </is>
      </c>
      <c r="G11036" s="3" t="inlineStr">
        <is>
          <t>유천리</t>
        </is>
      </c>
      <c r="H11036" s="3" t="inlineStr">
        <is>
          <t>농림지역</t>
        </is>
      </c>
      <c r="I11036" s="3" t="inlineStr">
        <is>
          <t>임야</t>
        </is>
      </c>
      <c r="J11036" s="3" t="inlineStr">
        <is>
          <t>전의면</t>
        </is>
      </c>
    </row>
    <row r="11037">
      <c r="A11037" s="3" t="n">
        <v>2023</v>
      </c>
      <c r="B11037" s="4" t="n">
        <v>78000</v>
      </c>
      <c r="C11037" s="4" t="n">
        <v>501.8</v>
      </c>
      <c r="D11037" s="4" t="n">
        <v>151.7945</v>
      </c>
      <c r="E11037" s="5" t="n">
        <v>513.9</v>
      </c>
      <c r="F11037" s="3" t="inlineStr">
        <is>
          <t>한솔동</t>
        </is>
      </c>
      <c r="G11037" s="3" t="inlineStr"/>
      <c r="H11037" s="3" t="inlineStr">
        <is>
          <t>제1종전용주거지역</t>
        </is>
      </c>
      <c r="I11037" s="3" t="inlineStr">
        <is>
          <t>대</t>
        </is>
      </c>
      <c r="J11037" s="3" t="inlineStr">
        <is>
          <t>한솔동</t>
        </is>
      </c>
    </row>
    <row r="11038">
      <c r="A11038" s="3" t="n">
        <v>2023</v>
      </c>
      <c r="B11038" s="4" t="n">
        <v>22740</v>
      </c>
      <c r="C11038" s="4" t="n">
        <v>500</v>
      </c>
      <c r="D11038" s="4" t="n">
        <v>151.25</v>
      </c>
      <c r="E11038" s="5" t="n">
        <v>150.3</v>
      </c>
      <c r="F11038" s="3" t="inlineStr">
        <is>
          <t>전의면</t>
        </is>
      </c>
      <c r="G11038" s="3" t="inlineStr">
        <is>
          <t>서정리</t>
        </is>
      </c>
      <c r="H11038" s="3" t="inlineStr">
        <is>
          <t>계획관리지역</t>
        </is>
      </c>
      <c r="I11038" s="3" t="inlineStr">
        <is>
          <t>대</t>
        </is>
      </c>
      <c r="J11038" s="3" t="inlineStr">
        <is>
          <t>전의면</t>
        </is>
      </c>
    </row>
    <row r="11039">
      <c r="A11039" s="3" t="n">
        <v>2023</v>
      </c>
      <c r="B11039" s="4" t="n">
        <v>7300</v>
      </c>
      <c r="C11039" s="4" t="n">
        <v>813</v>
      </c>
      <c r="D11039" s="4" t="n">
        <v>245.9325</v>
      </c>
      <c r="E11039" s="5" t="n">
        <v>29.7</v>
      </c>
      <c r="F11039" s="3" t="inlineStr">
        <is>
          <t>연기면</t>
        </is>
      </c>
      <c r="G11039" s="3" t="inlineStr">
        <is>
          <t>수산리</t>
        </is>
      </c>
      <c r="H11039" s="3" t="inlineStr">
        <is>
          <t>보전관리지역</t>
        </is>
      </c>
      <c r="I11039" s="3" t="inlineStr">
        <is>
          <t>임야</t>
        </is>
      </c>
      <c r="J11039" s="3" t="inlineStr">
        <is>
          <t>연기면</t>
        </is>
      </c>
    </row>
    <row r="11040">
      <c r="A11040" s="3" t="n">
        <v>2023</v>
      </c>
      <c r="B11040" s="4" t="n">
        <v>9798</v>
      </c>
      <c r="C11040" s="4" t="n">
        <v>321</v>
      </c>
      <c r="D11040" s="4" t="n">
        <v>97.10249999999999</v>
      </c>
      <c r="E11040" s="5" t="n">
        <v>100.9</v>
      </c>
      <c r="F11040" s="3" t="inlineStr">
        <is>
          <t>장군면</t>
        </is>
      </c>
      <c r="G11040" s="3" t="inlineStr">
        <is>
          <t>송문리</t>
        </is>
      </c>
      <c r="H11040" s="3" t="inlineStr">
        <is>
          <t>보전관리지역</t>
        </is>
      </c>
      <c r="I11040" s="3" t="inlineStr">
        <is>
          <t>임야</t>
        </is>
      </c>
      <c r="J11040" s="3" t="inlineStr">
        <is>
          <t>장군면</t>
        </is>
      </c>
    </row>
    <row r="11041">
      <c r="A11041" s="3" t="n">
        <v>2023</v>
      </c>
      <c r="B11041" s="4" t="n">
        <v>963</v>
      </c>
      <c r="C11041" s="4" t="n">
        <v>56</v>
      </c>
      <c r="D11041" s="4" t="n">
        <v>16.94</v>
      </c>
      <c r="E11041" s="5" t="n">
        <v>56.8</v>
      </c>
      <c r="F11041" s="3" t="inlineStr">
        <is>
          <t>전동면</t>
        </is>
      </c>
      <c r="G11041" s="3" t="inlineStr">
        <is>
          <t>노장리</t>
        </is>
      </c>
      <c r="H11041" s="3" t="inlineStr">
        <is>
          <t>계획관리지역</t>
        </is>
      </c>
      <c r="I11041" s="3" t="inlineStr">
        <is>
          <t>전</t>
        </is>
      </c>
      <c r="J11041" s="3" t="inlineStr">
        <is>
          <t>전동면</t>
        </is>
      </c>
    </row>
    <row r="11042">
      <c r="A11042" s="3" t="n">
        <v>2023</v>
      </c>
      <c r="B11042" s="4" t="n">
        <v>13400</v>
      </c>
      <c r="C11042" s="4" t="n">
        <v>332</v>
      </c>
      <c r="D11042" s="4" t="n">
        <v>100.43</v>
      </c>
      <c r="E11042" s="5" t="n">
        <v>133.4</v>
      </c>
      <c r="F11042" s="3" t="inlineStr">
        <is>
          <t>연서면</t>
        </is>
      </c>
      <c r="G11042" s="3" t="inlineStr">
        <is>
          <t>고복리</t>
        </is>
      </c>
      <c r="H11042" s="3" t="inlineStr">
        <is>
          <t>생산관리지역</t>
        </is>
      </c>
      <c r="I11042" s="3" t="inlineStr">
        <is>
          <t>대</t>
        </is>
      </c>
      <c r="J11042" s="3" t="inlineStr">
        <is>
          <t>연서면</t>
        </is>
      </c>
    </row>
    <row r="11043">
      <c r="A11043" s="3" t="n">
        <v>2023</v>
      </c>
      <c r="B11043" s="4" t="n">
        <v>51045</v>
      </c>
      <c r="C11043" s="4" t="n">
        <v>1258</v>
      </c>
      <c r="D11043" s="4" t="n">
        <v>380.545</v>
      </c>
      <c r="E11043" s="5" t="n">
        <v>134.1</v>
      </c>
      <c r="F11043" s="3" t="inlineStr">
        <is>
          <t>연서면</t>
        </is>
      </c>
      <c r="G11043" s="3" t="inlineStr">
        <is>
          <t>고복리</t>
        </is>
      </c>
      <c r="H11043" s="3" t="inlineStr">
        <is>
          <t>생산관리지역</t>
        </is>
      </c>
      <c r="I11043" s="3" t="inlineStr">
        <is>
          <t>잡종지</t>
        </is>
      </c>
      <c r="J11043" s="3" t="inlineStr">
        <is>
          <t>연서면</t>
        </is>
      </c>
    </row>
    <row r="11044">
      <c r="A11044" s="3" t="n">
        <v>2023</v>
      </c>
      <c r="B11044" s="4" t="n">
        <v>15000</v>
      </c>
      <c r="C11044" s="4" t="n">
        <v>111.5</v>
      </c>
      <c r="D11044" s="4" t="n">
        <v>33.72875</v>
      </c>
      <c r="E11044" s="5" t="n">
        <v>444.7</v>
      </c>
      <c r="F11044" s="3" t="inlineStr">
        <is>
          <t>조치원읍</t>
        </is>
      </c>
      <c r="G11044" s="3" t="inlineStr">
        <is>
          <t>남리</t>
        </is>
      </c>
      <c r="H11044" s="3" t="inlineStr">
        <is>
          <t>제2종일반주거지역</t>
        </is>
      </c>
      <c r="I11044" s="3" t="inlineStr">
        <is>
          <t>대</t>
        </is>
      </c>
      <c r="J11044" s="3" t="inlineStr">
        <is>
          <t>조치원읍</t>
        </is>
      </c>
    </row>
    <row r="11045">
      <c r="A11045" s="3" t="n">
        <v>2023</v>
      </c>
      <c r="B11045" s="4" t="n">
        <v>3285</v>
      </c>
      <c r="C11045" s="4" t="n">
        <v>217</v>
      </c>
      <c r="D11045" s="4" t="n">
        <v>65.6425</v>
      </c>
      <c r="E11045" s="5" t="n">
        <v>50</v>
      </c>
      <c r="F11045" s="3" t="inlineStr">
        <is>
          <t>연동면</t>
        </is>
      </c>
      <c r="G11045" s="3" t="inlineStr">
        <is>
          <t>응암리</t>
        </is>
      </c>
      <c r="H11045" s="3" t="inlineStr">
        <is>
          <t>계획관리지역</t>
        </is>
      </c>
      <c r="I11045" s="3" t="inlineStr">
        <is>
          <t>목장용지</t>
        </is>
      </c>
      <c r="J11045" s="3" t="inlineStr">
        <is>
          <t>연동면</t>
        </is>
      </c>
    </row>
    <row r="11046">
      <c r="A11046" s="3" t="n">
        <v>2023</v>
      </c>
      <c r="B11046" s="4" t="n">
        <v>3694</v>
      </c>
      <c r="C11046" s="4" t="n">
        <v>244</v>
      </c>
      <c r="D11046" s="4" t="n">
        <v>73.81</v>
      </c>
      <c r="E11046" s="5" t="n">
        <v>50</v>
      </c>
      <c r="F11046" s="3" t="inlineStr">
        <is>
          <t>연동면</t>
        </is>
      </c>
      <c r="G11046" s="3" t="inlineStr">
        <is>
          <t>응암리</t>
        </is>
      </c>
      <c r="H11046" s="3" t="inlineStr">
        <is>
          <t>계획관리지역</t>
        </is>
      </c>
      <c r="I11046" s="3" t="inlineStr">
        <is>
          <t>목장용지</t>
        </is>
      </c>
      <c r="J11046" s="3" t="inlineStr">
        <is>
          <t>연동면</t>
        </is>
      </c>
    </row>
    <row r="11047">
      <c r="A11047" s="3" t="n">
        <v>2023</v>
      </c>
      <c r="B11047" s="4" t="n">
        <v>16800</v>
      </c>
      <c r="C11047" s="4" t="n">
        <v>397</v>
      </c>
      <c r="D11047" s="4" t="n">
        <v>120.0925</v>
      </c>
      <c r="E11047" s="5" t="n">
        <v>139.9</v>
      </c>
      <c r="F11047" s="3" t="inlineStr">
        <is>
          <t>장군면</t>
        </is>
      </c>
      <c r="G11047" s="3" t="inlineStr">
        <is>
          <t>송문리</t>
        </is>
      </c>
      <c r="H11047" s="3" t="inlineStr">
        <is>
          <t>계획관리지역</t>
        </is>
      </c>
      <c r="I11047" s="3" t="inlineStr">
        <is>
          <t>전</t>
        </is>
      </c>
      <c r="J11047" s="3" t="inlineStr">
        <is>
          <t>장군면</t>
        </is>
      </c>
    </row>
    <row r="11048">
      <c r="A11048" s="3" t="n">
        <v>2023</v>
      </c>
      <c r="B11048" s="4" t="n">
        <v>15129</v>
      </c>
      <c r="C11048" s="4" t="n">
        <v>7380</v>
      </c>
      <c r="D11048" s="4" t="n">
        <v>2232.45</v>
      </c>
      <c r="E11048" s="5" t="n">
        <v>6.8</v>
      </c>
      <c r="F11048" s="3" t="inlineStr">
        <is>
          <t>금남면</t>
        </is>
      </c>
      <c r="G11048" s="3" t="inlineStr">
        <is>
          <t>축산리</t>
        </is>
      </c>
      <c r="H11048" s="3" t="inlineStr">
        <is>
          <t>개발제한구역</t>
        </is>
      </c>
      <c r="I11048" s="3" t="inlineStr">
        <is>
          <t>임야</t>
        </is>
      </c>
      <c r="J11048" s="3" t="inlineStr">
        <is>
          <t>금남면</t>
        </is>
      </c>
    </row>
    <row r="11049">
      <c r="A11049" s="3" t="n">
        <v>2023</v>
      </c>
      <c r="B11049" s="4" t="n">
        <v>15129</v>
      </c>
      <c r="C11049" s="4" t="n">
        <v>7380</v>
      </c>
      <c r="D11049" s="4" t="n">
        <v>2232.45</v>
      </c>
      <c r="E11049" s="5" t="n">
        <v>6.8</v>
      </c>
      <c r="F11049" s="3" t="inlineStr">
        <is>
          <t>금남면</t>
        </is>
      </c>
      <c r="G11049" s="3" t="inlineStr">
        <is>
          <t>축산리</t>
        </is>
      </c>
      <c r="H11049" s="3" t="inlineStr">
        <is>
          <t>개발제한구역</t>
        </is>
      </c>
      <c r="I11049" s="3" t="inlineStr">
        <is>
          <t>임야</t>
        </is>
      </c>
      <c r="J11049" s="3" t="inlineStr">
        <is>
          <t>금남면</t>
        </is>
      </c>
    </row>
    <row r="11050">
      <c r="A11050" s="3" t="n">
        <v>2022</v>
      </c>
      <c r="B11050" s="4" t="n">
        <v>50000</v>
      </c>
      <c r="C11050" s="4" t="n">
        <v>3741</v>
      </c>
      <c r="D11050" s="4" t="n">
        <v>1131.6525</v>
      </c>
      <c r="E11050" s="5" t="n">
        <v>44.2</v>
      </c>
      <c r="F11050" s="3" t="inlineStr">
        <is>
          <t>전동면</t>
        </is>
      </c>
      <c r="G11050" s="3" t="inlineStr">
        <is>
          <t>노장리</t>
        </is>
      </c>
      <c r="H11050" s="3" t="inlineStr">
        <is>
          <t>농림지역</t>
        </is>
      </c>
      <c r="I11050" s="3" t="inlineStr">
        <is>
          <t>답</t>
        </is>
      </c>
      <c r="J11050" s="3" t="inlineStr">
        <is>
          <t>전동면</t>
        </is>
      </c>
    </row>
    <row r="11051">
      <c r="A11051" s="3" t="n">
        <v>2023</v>
      </c>
      <c r="B11051" s="4" t="n">
        <v>15129</v>
      </c>
      <c r="C11051" s="4" t="n">
        <v>7380</v>
      </c>
      <c r="D11051" s="4" t="n">
        <v>2232.45</v>
      </c>
      <c r="E11051" s="5" t="n">
        <v>6.8</v>
      </c>
      <c r="F11051" s="3" t="inlineStr">
        <is>
          <t>금남면</t>
        </is>
      </c>
      <c r="G11051" s="3" t="inlineStr">
        <is>
          <t>축산리</t>
        </is>
      </c>
      <c r="H11051" s="3" t="inlineStr">
        <is>
          <t>개발제한구역</t>
        </is>
      </c>
      <c r="I11051" s="3" t="inlineStr">
        <is>
          <t>임야</t>
        </is>
      </c>
      <c r="J11051" s="3" t="inlineStr">
        <is>
          <t>금남면</t>
        </is>
      </c>
    </row>
    <row r="11052">
      <c r="A11052" s="3" t="n">
        <v>2026</v>
      </c>
      <c r="B11052" s="4" t="n">
        <v>400</v>
      </c>
      <c r="C11052" s="4" t="n">
        <v>96</v>
      </c>
      <c r="D11052" s="4" t="n">
        <v>29.04</v>
      </c>
      <c r="E11052" s="5" t="n">
        <v>13.8</v>
      </c>
      <c r="F11052" s="3" t="inlineStr">
        <is>
          <t>장군면</t>
        </is>
      </c>
      <c r="G11052" s="3" t="inlineStr">
        <is>
          <t>은용리</t>
        </is>
      </c>
      <c r="H11052" s="3" t="inlineStr">
        <is>
          <t>농림지역</t>
        </is>
      </c>
      <c r="I11052" s="3" t="inlineStr">
        <is>
          <t>답</t>
        </is>
      </c>
      <c r="J11052" s="3" t="inlineStr">
        <is>
          <t>장군면</t>
        </is>
      </c>
    </row>
    <row r="11053">
      <c r="A11053" s="3" t="n">
        <v>2026</v>
      </c>
      <c r="B11053" s="4" t="n">
        <v>14000</v>
      </c>
      <c r="C11053" s="4" t="n">
        <v>1000</v>
      </c>
      <c r="D11053" s="4" t="n">
        <v>302.5</v>
      </c>
      <c r="E11053" s="5" t="n">
        <v>46.3</v>
      </c>
      <c r="F11053" s="3" t="inlineStr">
        <is>
          <t>전동면</t>
        </is>
      </c>
      <c r="G11053" s="3" t="inlineStr">
        <is>
          <t>봉대리</t>
        </is>
      </c>
      <c r="H11053" s="3" t="inlineStr">
        <is>
          <t>농림지역</t>
        </is>
      </c>
      <c r="I11053" s="3" t="inlineStr">
        <is>
          <t>임야</t>
        </is>
      </c>
      <c r="J11053" s="3" t="inlineStr">
        <is>
          <t>전동면</t>
        </is>
      </c>
    </row>
    <row r="11054">
      <c r="A11054" s="3" t="n">
        <v>2026</v>
      </c>
      <c r="B11054" s="4" t="n">
        <v>95450</v>
      </c>
      <c r="C11054" s="4" t="n">
        <v>2809</v>
      </c>
      <c r="D11054" s="4" t="n">
        <v>849.7225</v>
      </c>
      <c r="E11054" s="5" t="n">
        <v>112.3</v>
      </c>
      <c r="F11054" s="3" t="inlineStr">
        <is>
          <t>전동면</t>
        </is>
      </c>
      <c r="G11054" s="3" t="inlineStr">
        <is>
          <t>청람리</t>
        </is>
      </c>
      <c r="H11054" s="3" t="inlineStr">
        <is>
          <t>계획관리지역</t>
        </is>
      </c>
      <c r="I11054" s="3" t="inlineStr">
        <is>
          <t>전</t>
        </is>
      </c>
      <c r="J11054" s="3" t="inlineStr">
        <is>
          <t>전동면</t>
        </is>
      </c>
    </row>
    <row r="11055">
      <c r="A11055" s="3" t="n">
        <v>2022</v>
      </c>
      <c r="B11055" s="4" t="n">
        <v>33800</v>
      </c>
      <c r="C11055" s="4" t="n">
        <v>861</v>
      </c>
      <c r="D11055" s="4" t="n">
        <v>260.4525</v>
      </c>
      <c r="E11055" s="5" t="n">
        <v>129.8</v>
      </c>
      <c r="F11055" s="3" t="inlineStr">
        <is>
          <t>장군면</t>
        </is>
      </c>
      <c r="G11055" s="3" t="inlineStr">
        <is>
          <t>평기리</t>
        </is>
      </c>
      <c r="H11055" s="3" t="inlineStr">
        <is>
          <t>보전관리지역</t>
        </is>
      </c>
      <c r="I11055" s="3" t="inlineStr">
        <is>
          <t>임야</t>
        </is>
      </c>
      <c r="J11055" s="3" t="inlineStr">
        <is>
          <t>장군면</t>
        </is>
      </c>
    </row>
    <row r="11056">
      <c r="A11056" s="3" t="n">
        <v>2022</v>
      </c>
      <c r="B11056" s="4" t="n">
        <v>28520</v>
      </c>
      <c r="C11056" s="4" t="n">
        <v>4716</v>
      </c>
      <c r="D11056" s="4" t="n">
        <v>1426.59</v>
      </c>
      <c r="E11056" s="5" t="n">
        <v>20</v>
      </c>
      <c r="F11056" s="3" t="inlineStr">
        <is>
          <t>금남면</t>
        </is>
      </c>
      <c r="G11056" s="3" t="inlineStr">
        <is>
          <t>황용리</t>
        </is>
      </c>
      <c r="H11056" s="3" t="inlineStr">
        <is>
          <t>개발제한구역</t>
        </is>
      </c>
      <c r="I11056" s="3" t="inlineStr">
        <is>
          <t>임야</t>
        </is>
      </c>
      <c r="J11056" s="3" t="inlineStr">
        <is>
          <t>금남면</t>
        </is>
      </c>
    </row>
    <row r="11057">
      <c r="A11057" s="3" t="n">
        <v>2022</v>
      </c>
      <c r="B11057" s="4" t="n">
        <v>2500</v>
      </c>
      <c r="C11057" s="4" t="n">
        <v>1031</v>
      </c>
      <c r="D11057" s="4" t="n">
        <v>311.8775</v>
      </c>
      <c r="E11057" s="5" t="n">
        <v>8</v>
      </c>
      <c r="F11057" s="3" t="inlineStr">
        <is>
          <t>유구읍</t>
        </is>
      </c>
      <c r="G11057" s="3" t="inlineStr">
        <is>
          <t>신영리</t>
        </is>
      </c>
      <c r="H11057" s="3" t="inlineStr">
        <is>
          <t>보전관리지역</t>
        </is>
      </c>
      <c r="I11057" s="3" t="inlineStr">
        <is>
          <t>답</t>
        </is>
      </c>
      <c r="J11057" s="3" t="inlineStr">
        <is>
          <t>유구읍</t>
        </is>
      </c>
    </row>
    <row r="11058">
      <c r="A11058" s="3" t="n">
        <v>2022</v>
      </c>
      <c r="B11058" s="4" t="n">
        <v>3500</v>
      </c>
      <c r="C11058" s="4" t="n">
        <v>1511</v>
      </c>
      <c r="D11058" s="4" t="n">
        <v>457.0775</v>
      </c>
      <c r="E11058" s="5" t="n">
        <v>7.7</v>
      </c>
      <c r="F11058" s="3" t="inlineStr">
        <is>
          <t>유구읍</t>
        </is>
      </c>
      <c r="G11058" s="3" t="inlineStr">
        <is>
          <t>신영리</t>
        </is>
      </c>
      <c r="H11058" s="3" t="inlineStr">
        <is>
          <t>보전관리지역</t>
        </is>
      </c>
      <c r="I11058" s="3" t="inlineStr">
        <is>
          <t>답</t>
        </is>
      </c>
      <c r="J11058" s="3" t="inlineStr">
        <is>
          <t>유구읍</t>
        </is>
      </c>
    </row>
    <row r="11059">
      <c r="A11059" s="3" t="n">
        <v>2022</v>
      </c>
      <c r="B11059" s="4" t="n">
        <v>9750</v>
      </c>
      <c r="C11059" s="4" t="n">
        <v>296</v>
      </c>
      <c r="D11059" s="4" t="n">
        <v>89.53999999999999</v>
      </c>
      <c r="E11059" s="5" t="n">
        <v>108.9</v>
      </c>
      <c r="F11059" s="3" t="inlineStr">
        <is>
          <t>유구읍</t>
        </is>
      </c>
      <c r="G11059" s="3" t="inlineStr">
        <is>
          <t>석남리</t>
        </is>
      </c>
      <c r="H11059" s="3" t="inlineStr">
        <is>
          <t>제2종일반주거지역</t>
        </is>
      </c>
      <c r="I11059" s="3" t="inlineStr">
        <is>
          <t>대</t>
        </is>
      </c>
      <c r="J11059" s="3" t="inlineStr">
        <is>
          <t>유구읍</t>
        </is>
      </c>
    </row>
    <row r="11060">
      <c r="A11060" s="3" t="n">
        <v>2023</v>
      </c>
      <c r="B11060" s="4" t="n">
        <v>6980</v>
      </c>
      <c r="C11060" s="4" t="n">
        <v>2307</v>
      </c>
      <c r="D11060" s="4" t="n">
        <v>697.8674999999999</v>
      </c>
      <c r="E11060" s="5" t="n">
        <v>10</v>
      </c>
      <c r="F11060" s="3" t="inlineStr">
        <is>
          <t>장군면</t>
        </is>
      </c>
      <c r="G11060" s="3" t="inlineStr">
        <is>
          <t>송학리</t>
        </is>
      </c>
      <c r="H11060" s="3" t="inlineStr">
        <is>
          <t>생산관리지역</t>
        </is>
      </c>
      <c r="I11060" s="3" t="inlineStr">
        <is>
          <t>답</t>
        </is>
      </c>
      <c r="J11060" s="3" t="inlineStr">
        <is>
          <t>장군면</t>
        </is>
      </c>
    </row>
    <row r="11061">
      <c r="A11061" s="3" t="n">
        <v>2023</v>
      </c>
      <c r="B11061" s="4" t="n">
        <v>71100</v>
      </c>
      <c r="C11061" s="4" t="n">
        <v>9972</v>
      </c>
      <c r="D11061" s="4" t="n">
        <v>3016.53</v>
      </c>
      <c r="E11061" s="5" t="n">
        <v>23.6</v>
      </c>
      <c r="F11061" s="3" t="inlineStr">
        <is>
          <t>부강면</t>
        </is>
      </c>
      <c r="G11061" s="3" t="inlineStr">
        <is>
          <t>노호리</t>
        </is>
      </c>
      <c r="H11061" s="3" t="inlineStr">
        <is>
          <t>보전관리지역</t>
        </is>
      </c>
      <c r="I11061" s="3" t="inlineStr">
        <is>
          <t>임야</t>
        </is>
      </c>
      <c r="J11061" s="3" t="inlineStr">
        <is>
          <t>부강면</t>
        </is>
      </c>
    </row>
    <row r="11062">
      <c r="A11062" s="3" t="n">
        <v>2023</v>
      </c>
      <c r="B11062" s="4" t="n">
        <v>13950</v>
      </c>
      <c r="C11062" s="4" t="n">
        <v>1957</v>
      </c>
      <c r="D11062" s="4" t="n">
        <v>591.9924999999999</v>
      </c>
      <c r="E11062" s="5" t="n">
        <v>23.6</v>
      </c>
      <c r="F11062" s="3" t="inlineStr">
        <is>
          <t>부강면</t>
        </is>
      </c>
      <c r="G11062" s="3" t="inlineStr">
        <is>
          <t>노호리</t>
        </is>
      </c>
      <c r="H11062" s="3" t="inlineStr">
        <is>
          <t>보전관리지역</t>
        </is>
      </c>
      <c r="I11062" s="3" t="inlineStr">
        <is>
          <t>임야</t>
        </is>
      </c>
      <c r="J11062" s="3" t="inlineStr">
        <is>
          <t>부강면</t>
        </is>
      </c>
    </row>
    <row r="11063">
      <c r="A11063" s="3" t="n">
        <v>2023</v>
      </c>
      <c r="B11063" s="4" t="n">
        <v>950</v>
      </c>
      <c r="C11063" s="4" t="n">
        <v>133</v>
      </c>
      <c r="D11063" s="4" t="n">
        <v>40.2325</v>
      </c>
      <c r="E11063" s="5" t="n">
        <v>23.6</v>
      </c>
      <c r="F11063" s="3" t="inlineStr">
        <is>
          <t>부강면</t>
        </is>
      </c>
      <c r="G11063" s="3" t="inlineStr">
        <is>
          <t>노호리</t>
        </is>
      </c>
      <c r="H11063" s="3" t="inlineStr">
        <is>
          <t>보전관리지역</t>
        </is>
      </c>
      <c r="I11063" s="3" t="inlineStr">
        <is>
          <t>임야</t>
        </is>
      </c>
      <c r="J11063" s="3" t="inlineStr">
        <is>
          <t>부강면</t>
        </is>
      </c>
    </row>
    <row r="11064">
      <c r="A11064" s="3" t="n">
        <v>2023</v>
      </c>
      <c r="B11064" s="4" t="n">
        <v>3194</v>
      </c>
      <c r="C11064" s="4" t="n">
        <v>287.6</v>
      </c>
      <c r="D11064" s="4" t="n">
        <v>86.99900000000001</v>
      </c>
      <c r="E11064" s="5" t="n">
        <v>36.7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계획관리지역</t>
        </is>
      </c>
      <c r="I11064" s="3" t="inlineStr">
        <is>
          <t>전</t>
        </is>
      </c>
      <c r="J11064" s="3" t="inlineStr">
        <is>
          <t>소정면</t>
        </is>
      </c>
    </row>
    <row r="11065">
      <c r="A11065" s="3" t="n">
        <v>2023</v>
      </c>
      <c r="B11065" s="4" t="n">
        <v>10306</v>
      </c>
      <c r="C11065" s="4" t="n">
        <v>545</v>
      </c>
      <c r="D11065" s="4" t="n">
        <v>164.8625</v>
      </c>
      <c r="E11065" s="5" t="n">
        <v>62.5</v>
      </c>
      <c r="F11065" s="3" t="inlineStr">
        <is>
          <t>소정면</t>
        </is>
      </c>
      <c r="G11065" s="3" t="inlineStr">
        <is>
          <t>소정리</t>
        </is>
      </c>
      <c r="H11065" s="3" t="inlineStr">
        <is>
          <t>계획관리지역</t>
        </is>
      </c>
      <c r="I11065" s="3" t="inlineStr">
        <is>
          <t>대</t>
        </is>
      </c>
      <c r="J11065" s="3" t="inlineStr">
        <is>
          <t>소정면</t>
        </is>
      </c>
    </row>
    <row r="11066">
      <c r="A11066" s="3" t="n">
        <v>2023</v>
      </c>
      <c r="B11066" s="4" t="n">
        <v>22000</v>
      </c>
      <c r="C11066" s="4" t="n">
        <v>231</v>
      </c>
      <c r="D11066" s="4" t="n">
        <v>69.8775</v>
      </c>
      <c r="E11066" s="5" t="n">
        <v>314.8</v>
      </c>
      <c r="F11066" s="3" t="inlineStr">
        <is>
          <t>장군면</t>
        </is>
      </c>
      <c r="G11066" s="3" t="inlineStr">
        <is>
          <t>대교리</t>
        </is>
      </c>
      <c r="H11066" s="3" t="inlineStr">
        <is>
          <t>계획관리지역</t>
        </is>
      </c>
      <c r="I11066" s="3" t="inlineStr">
        <is>
          <t>임야</t>
        </is>
      </c>
      <c r="J11066" s="3" t="inlineStr">
        <is>
          <t>장군면</t>
        </is>
      </c>
    </row>
    <row r="11067">
      <c r="A11067" s="3" t="n">
        <v>2023</v>
      </c>
      <c r="B11067" s="4" t="n">
        <v>1500</v>
      </c>
      <c r="C11067" s="4" t="n">
        <v>290</v>
      </c>
      <c r="D11067" s="4" t="n">
        <v>87.72499999999999</v>
      </c>
      <c r="E11067" s="5" t="n">
        <v>17.1</v>
      </c>
      <c r="F11067" s="3" t="inlineStr">
        <is>
          <t>전동면</t>
        </is>
      </c>
      <c r="G11067" s="3" t="inlineStr">
        <is>
          <t>노장리</t>
        </is>
      </c>
      <c r="H11067" s="3" t="inlineStr">
        <is>
          <t>계획관리지역</t>
        </is>
      </c>
      <c r="I11067" s="3" t="inlineStr">
        <is>
          <t>전</t>
        </is>
      </c>
      <c r="J11067" s="3" t="inlineStr">
        <is>
          <t>전동면</t>
        </is>
      </c>
    </row>
    <row r="11068">
      <c r="A11068" s="3" t="n">
        <v>2023</v>
      </c>
      <c r="B11068" s="4" t="n">
        <v>18000</v>
      </c>
      <c r="C11068" s="4" t="n">
        <v>1862</v>
      </c>
      <c r="D11068" s="4" t="n">
        <v>563.255</v>
      </c>
      <c r="E11068" s="5" t="n">
        <v>32</v>
      </c>
      <c r="F11068" s="3" t="inlineStr">
        <is>
          <t>부강면</t>
        </is>
      </c>
      <c r="G11068" s="3" t="inlineStr">
        <is>
          <t>노호리</t>
        </is>
      </c>
      <c r="H11068" s="3" t="inlineStr">
        <is>
          <t>생산관리지역</t>
        </is>
      </c>
      <c r="I11068" s="3" t="inlineStr">
        <is>
          <t>전</t>
        </is>
      </c>
      <c r="J11068" s="3" t="inlineStr">
        <is>
          <t>부강면</t>
        </is>
      </c>
    </row>
    <row r="11069">
      <c r="A11069" s="3" t="n">
        <v>2023</v>
      </c>
      <c r="B11069" s="4" t="n">
        <v>22000</v>
      </c>
      <c r="C11069" s="4" t="n">
        <v>1031</v>
      </c>
      <c r="D11069" s="4" t="n">
        <v>311.8775</v>
      </c>
      <c r="E11069" s="5" t="n">
        <v>70.5</v>
      </c>
      <c r="F11069" s="3" t="inlineStr">
        <is>
          <t>전동면</t>
        </is>
      </c>
      <c r="G11069" s="3" t="inlineStr">
        <is>
          <t>심중리</t>
        </is>
      </c>
      <c r="H11069" s="3" t="inlineStr">
        <is>
          <t>계획관리지역</t>
        </is>
      </c>
      <c r="I11069" s="3" t="inlineStr">
        <is>
          <t>답</t>
        </is>
      </c>
      <c r="J11069" s="3" t="inlineStr">
        <is>
          <t>전동면</t>
        </is>
      </c>
    </row>
    <row r="11070">
      <c r="A11070" s="3" t="n">
        <v>2023</v>
      </c>
      <c r="B11070" s="4" t="n">
        <v>27680</v>
      </c>
      <c r="C11070" s="4" t="n">
        <v>320</v>
      </c>
      <c r="D11070" s="4" t="n">
        <v>96.8</v>
      </c>
      <c r="E11070" s="5" t="n">
        <v>286</v>
      </c>
      <c r="F11070" s="3" t="inlineStr">
        <is>
          <t>연동면</t>
        </is>
      </c>
      <c r="G11070" s="3" t="inlineStr">
        <is>
          <t>내판리</t>
        </is>
      </c>
      <c r="H11070" s="3" t="inlineStr">
        <is>
          <t>보전관리지역</t>
        </is>
      </c>
      <c r="I11070" s="3" t="inlineStr">
        <is>
          <t>임야</t>
        </is>
      </c>
      <c r="J11070" s="3" t="inlineStr">
        <is>
          <t>연동면</t>
        </is>
      </c>
    </row>
    <row r="11071">
      <c r="A11071" s="3" t="n">
        <v>2023</v>
      </c>
      <c r="B11071" s="4" t="n">
        <v>31320</v>
      </c>
      <c r="C11071" s="4" t="n">
        <v>362</v>
      </c>
      <c r="D11071" s="4" t="n">
        <v>109.505</v>
      </c>
      <c r="E11071" s="5" t="n">
        <v>286</v>
      </c>
      <c r="F11071" s="3" t="inlineStr">
        <is>
          <t>연동면</t>
        </is>
      </c>
      <c r="G11071" s="3" t="inlineStr">
        <is>
          <t>내판리</t>
        </is>
      </c>
      <c r="H11071" s="3" t="inlineStr">
        <is>
          <t>보전관리지역</t>
        </is>
      </c>
      <c r="I11071" s="3" t="inlineStr">
        <is>
          <t>임야</t>
        </is>
      </c>
      <c r="J11071" s="3" t="inlineStr">
        <is>
          <t>연동면</t>
        </is>
      </c>
    </row>
    <row r="11072">
      <c r="A11072" s="3" t="n">
        <v>2023</v>
      </c>
      <c r="B11072" s="4" t="n">
        <v>24000</v>
      </c>
      <c r="C11072" s="4" t="n">
        <v>613</v>
      </c>
      <c r="D11072" s="4" t="n">
        <v>185.4325</v>
      </c>
      <c r="E11072" s="5" t="n">
        <v>129.4</v>
      </c>
      <c r="F11072" s="3" t="inlineStr">
        <is>
          <t>금남면</t>
        </is>
      </c>
      <c r="G11072" s="3" t="inlineStr">
        <is>
          <t>호탄리</t>
        </is>
      </c>
      <c r="H11072" s="3" t="inlineStr">
        <is>
          <t>개발제한구역</t>
        </is>
      </c>
      <c r="I11072" s="3" t="inlineStr">
        <is>
          <t>전</t>
        </is>
      </c>
      <c r="J11072" s="3" t="inlineStr">
        <is>
          <t>금남면</t>
        </is>
      </c>
    </row>
    <row r="11073">
      <c r="A11073" s="3" t="n">
        <v>2023</v>
      </c>
      <c r="B11073" s="4" t="n">
        <v>37380</v>
      </c>
      <c r="C11073" s="4" t="n">
        <v>2060</v>
      </c>
      <c r="D11073" s="4" t="n">
        <v>623.15</v>
      </c>
      <c r="E11073" s="5" t="n">
        <v>60</v>
      </c>
      <c r="F11073" s="3" t="inlineStr">
        <is>
          <t>전동면</t>
        </is>
      </c>
      <c r="G11073" s="3" t="inlineStr">
        <is>
          <t>송곡리</t>
        </is>
      </c>
      <c r="H11073" s="3" t="inlineStr">
        <is>
          <t>농림지역</t>
        </is>
      </c>
      <c r="I11073" s="3" t="inlineStr">
        <is>
          <t>답</t>
        </is>
      </c>
      <c r="J11073" s="3" t="inlineStr">
        <is>
          <t>전동면</t>
        </is>
      </c>
    </row>
    <row r="11074">
      <c r="A11074" s="3" t="n">
        <v>2023</v>
      </c>
      <c r="B11074" s="4" t="n">
        <v>51120</v>
      </c>
      <c r="C11074" s="4" t="n">
        <v>1409</v>
      </c>
      <c r="D11074" s="4" t="n">
        <v>426.2225</v>
      </c>
      <c r="E11074" s="5" t="n">
        <v>119.9</v>
      </c>
      <c r="F11074" s="3" t="inlineStr">
        <is>
          <t>연기면</t>
        </is>
      </c>
      <c r="G11074" s="3" t="inlineStr">
        <is>
          <t>수산리</t>
        </is>
      </c>
      <c r="H11074" s="3" t="inlineStr">
        <is>
          <t>농림지역</t>
        </is>
      </c>
      <c r="I11074" s="3" t="inlineStr">
        <is>
          <t>답</t>
        </is>
      </c>
      <c r="J11074" s="3" t="inlineStr">
        <is>
          <t>연기면</t>
        </is>
      </c>
    </row>
    <row r="11075">
      <c r="A11075" s="3" t="n">
        <v>2023</v>
      </c>
      <c r="B11075" s="4" t="n">
        <v>12780</v>
      </c>
      <c r="C11075" s="4" t="n">
        <v>469</v>
      </c>
      <c r="D11075" s="4" t="n">
        <v>141.8725</v>
      </c>
      <c r="E11075" s="5" t="n">
        <v>90.09999999999999</v>
      </c>
      <c r="F11075" s="3" t="inlineStr">
        <is>
          <t>전의면</t>
        </is>
      </c>
      <c r="G11075" s="3" t="inlineStr">
        <is>
          <t>달전리</t>
        </is>
      </c>
      <c r="H11075" s="3" t="inlineStr">
        <is>
          <t>보전관리지역</t>
        </is>
      </c>
      <c r="I11075" s="3" t="inlineStr">
        <is>
          <t>전</t>
        </is>
      </c>
      <c r="J11075" s="3" t="inlineStr">
        <is>
          <t>전의면</t>
        </is>
      </c>
    </row>
    <row r="11076">
      <c r="A11076" s="3" t="n">
        <v>2022</v>
      </c>
      <c r="B11076" s="4" t="n">
        <v>22000</v>
      </c>
      <c r="C11076" s="4" t="n">
        <v>4205</v>
      </c>
      <c r="D11076" s="4" t="n">
        <v>1272.0125</v>
      </c>
      <c r="E11076" s="5" t="n">
        <v>17.3</v>
      </c>
      <c r="F11076" s="3" t="inlineStr">
        <is>
          <t>유구읍</t>
        </is>
      </c>
      <c r="G11076" s="3" t="inlineStr">
        <is>
          <t>유구리</t>
        </is>
      </c>
      <c r="H11076" s="3" t="inlineStr">
        <is>
          <t>계획관리지역</t>
        </is>
      </c>
      <c r="I11076" s="3" t="inlineStr">
        <is>
          <t>잡종지</t>
        </is>
      </c>
      <c r="J11076" s="3" t="inlineStr">
        <is>
          <t>유구읍</t>
        </is>
      </c>
    </row>
    <row r="11077">
      <c r="A11077" s="3" t="n">
        <v>2022</v>
      </c>
      <c r="B11077" s="4" t="n">
        <v>1000</v>
      </c>
      <c r="C11077" s="4" t="n">
        <v>36</v>
      </c>
      <c r="D11077" s="4" t="n">
        <v>10.89</v>
      </c>
      <c r="E11077" s="5" t="n">
        <v>91.8</v>
      </c>
      <c r="F11077" s="3" t="inlineStr">
        <is>
          <t>유구읍</t>
        </is>
      </c>
      <c r="G11077" s="3" t="inlineStr">
        <is>
          <t>유구리</t>
        </is>
      </c>
      <c r="H11077" s="3" t="inlineStr">
        <is>
          <t>계획관리지역</t>
        </is>
      </c>
      <c r="I11077" s="3" t="inlineStr">
        <is>
          <t>도로</t>
        </is>
      </c>
      <c r="J11077" s="3" t="inlineStr">
        <is>
          <t>유구읍</t>
        </is>
      </c>
    </row>
    <row r="11078">
      <c r="A11078" s="3" t="n">
        <v>2022</v>
      </c>
      <c r="B11078" s="4" t="n">
        <v>11500</v>
      </c>
      <c r="C11078" s="4" t="n">
        <v>2177</v>
      </c>
      <c r="D11078" s="4" t="n">
        <v>658.5425</v>
      </c>
      <c r="E11078" s="5" t="n">
        <v>17.5</v>
      </c>
      <c r="F11078" s="3" t="inlineStr">
        <is>
          <t>유구읍</t>
        </is>
      </c>
      <c r="G11078" s="3" t="inlineStr">
        <is>
          <t>유구리</t>
        </is>
      </c>
      <c r="H11078" s="3" t="inlineStr">
        <is>
          <t>계획관리지역</t>
        </is>
      </c>
      <c r="I11078" s="3" t="inlineStr">
        <is>
          <t>임야</t>
        </is>
      </c>
      <c r="J11078" s="3" t="inlineStr">
        <is>
          <t>유구읍</t>
        </is>
      </c>
    </row>
    <row r="11079">
      <c r="A11079" s="3" t="n">
        <v>2022</v>
      </c>
      <c r="B11079" s="4" t="n">
        <v>14000</v>
      </c>
      <c r="C11079" s="4" t="n">
        <v>2740</v>
      </c>
      <c r="D11079" s="4" t="n">
        <v>828.85</v>
      </c>
      <c r="E11079" s="5" t="n">
        <v>16.9</v>
      </c>
      <c r="F11079" s="3" t="inlineStr">
        <is>
          <t>유구읍</t>
        </is>
      </c>
      <c r="G11079" s="3" t="inlineStr">
        <is>
          <t>유구리</t>
        </is>
      </c>
      <c r="H11079" s="3" t="inlineStr">
        <is>
          <t>농림지역</t>
        </is>
      </c>
      <c r="I11079" s="3" t="inlineStr">
        <is>
          <t>임야</t>
        </is>
      </c>
      <c r="J11079" s="3" t="inlineStr">
        <is>
          <t>유구읍</t>
        </is>
      </c>
    </row>
    <row r="11080">
      <c r="A11080" s="3" t="n">
        <v>2022</v>
      </c>
      <c r="B11080" s="4" t="n">
        <v>1500</v>
      </c>
      <c r="C11080" s="4" t="n">
        <v>363</v>
      </c>
      <c r="D11080" s="4" t="n">
        <v>109.8075</v>
      </c>
      <c r="E11080" s="5" t="n">
        <v>13.7</v>
      </c>
      <c r="F11080" s="3" t="inlineStr">
        <is>
          <t>유구읍</t>
        </is>
      </c>
      <c r="G11080" s="3" t="inlineStr">
        <is>
          <t>유구리</t>
        </is>
      </c>
      <c r="H11080" s="3" t="inlineStr">
        <is>
          <t>계획관리지역</t>
        </is>
      </c>
      <c r="I11080" s="3" t="inlineStr">
        <is>
          <t>임야</t>
        </is>
      </c>
      <c r="J11080" s="3" t="inlineStr">
        <is>
          <t>유구읍</t>
        </is>
      </c>
    </row>
    <row r="11081">
      <c r="A11081" s="3" t="n">
        <v>2022</v>
      </c>
      <c r="B11081" s="4" t="n">
        <v>22000</v>
      </c>
      <c r="C11081" s="4" t="n">
        <v>4205</v>
      </c>
      <c r="D11081" s="4" t="n">
        <v>1272.0125</v>
      </c>
      <c r="E11081" s="5" t="n">
        <v>17.3</v>
      </c>
      <c r="F11081" s="3" t="inlineStr">
        <is>
          <t>유구읍</t>
        </is>
      </c>
      <c r="G11081" s="3" t="inlineStr">
        <is>
          <t>유구리</t>
        </is>
      </c>
      <c r="H11081" s="3" t="inlineStr">
        <is>
          <t>계획관리지역</t>
        </is>
      </c>
      <c r="I11081" s="3" t="inlineStr">
        <is>
          <t>잡종지</t>
        </is>
      </c>
      <c r="J11081" s="3" t="inlineStr">
        <is>
          <t>유구읍</t>
        </is>
      </c>
    </row>
    <row r="11082">
      <c r="A11082" s="3" t="n">
        <v>2022</v>
      </c>
      <c r="B11082" s="4" t="n">
        <v>1000</v>
      </c>
      <c r="C11082" s="4" t="n">
        <v>36</v>
      </c>
      <c r="D11082" s="4" t="n">
        <v>10.89</v>
      </c>
      <c r="E11082" s="5" t="n">
        <v>91.8</v>
      </c>
      <c r="F11082" s="3" t="inlineStr">
        <is>
          <t>유구읍</t>
        </is>
      </c>
      <c r="G11082" s="3" t="inlineStr">
        <is>
          <t>유구리</t>
        </is>
      </c>
      <c r="H11082" s="3" t="inlineStr">
        <is>
          <t>계획관리지역</t>
        </is>
      </c>
      <c r="I11082" s="3" t="inlineStr">
        <is>
          <t>도로</t>
        </is>
      </c>
      <c r="J11082" s="3" t="inlineStr">
        <is>
          <t>유구읍</t>
        </is>
      </c>
    </row>
    <row r="11083">
      <c r="A11083" s="3" t="n">
        <v>2022</v>
      </c>
      <c r="B11083" s="4" t="n">
        <v>11500</v>
      </c>
      <c r="C11083" s="4" t="n">
        <v>2177</v>
      </c>
      <c r="D11083" s="4" t="n">
        <v>658.5425</v>
      </c>
      <c r="E11083" s="5" t="n">
        <v>17.5</v>
      </c>
      <c r="F11083" s="3" t="inlineStr">
        <is>
          <t>유구읍</t>
        </is>
      </c>
      <c r="G11083" s="3" t="inlineStr">
        <is>
          <t>유구리</t>
        </is>
      </c>
      <c r="H11083" s="3" t="inlineStr">
        <is>
          <t>계획관리지역</t>
        </is>
      </c>
      <c r="I11083" s="3" t="inlineStr">
        <is>
          <t>임야</t>
        </is>
      </c>
      <c r="J11083" s="3" t="inlineStr">
        <is>
          <t>유구읍</t>
        </is>
      </c>
    </row>
    <row r="11084">
      <c r="A11084" s="3" t="n">
        <v>2022</v>
      </c>
      <c r="B11084" s="4" t="n">
        <v>14000</v>
      </c>
      <c r="C11084" s="4" t="n">
        <v>2740</v>
      </c>
      <c r="D11084" s="4" t="n">
        <v>828.85</v>
      </c>
      <c r="E11084" s="5" t="n">
        <v>16.9</v>
      </c>
      <c r="F11084" s="3" t="inlineStr">
        <is>
          <t>유구읍</t>
        </is>
      </c>
      <c r="G11084" s="3" t="inlineStr">
        <is>
          <t>유구리</t>
        </is>
      </c>
      <c r="H11084" s="3" t="inlineStr">
        <is>
          <t>농림지역</t>
        </is>
      </c>
      <c r="I11084" s="3" t="inlineStr">
        <is>
          <t>임야</t>
        </is>
      </c>
      <c r="J11084" s="3" t="inlineStr">
        <is>
          <t>유구읍</t>
        </is>
      </c>
    </row>
    <row r="11085">
      <c r="A11085" s="3" t="n">
        <v>2022</v>
      </c>
      <c r="B11085" s="4" t="n">
        <v>1500</v>
      </c>
      <c r="C11085" s="4" t="n">
        <v>363</v>
      </c>
      <c r="D11085" s="4" t="n">
        <v>109.8075</v>
      </c>
      <c r="E11085" s="5" t="n">
        <v>13.7</v>
      </c>
      <c r="F11085" s="3" t="inlineStr">
        <is>
          <t>유구읍</t>
        </is>
      </c>
      <c r="G11085" s="3" t="inlineStr">
        <is>
          <t>유구리</t>
        </is>
      </c>
      <c r="H11085" s="3" t="inlineStr">
        <is>
          <t>계획관리지역</t>
        </is>
      </c>
      <c r="I11085" s="3" t="inlineStr">
        <is>
          <t>임야</t>
        </is>
      </c>
      <c r="J11085" s="3" t="inlineStr">
        <is>
          <t>유구읍</t>
        </is>
      </c>
    </row>
    <row r="11086">
      <c r="A11086" s="3" t="n">
        <v>2022</v>
      </c>
      <c r="B11086" s="4" t="n">
        <v>1250</v>
      </c>
      <c r="C11086" s="4" t="n">
        <v>206</v>
      </c>
      <c r="D11086" s="4" t="n">
        <v>62.315</v>
      </c>
      <c r="E11086" s="5" t="n">
        <v>20.1</v>
      </c>
      <c r="F11086" s="3" t="inlineStr">
        <is>
          <t>유구읍</t>
        </is>
      </c>
      <c r="G11086" s="3" t="inlineStr">
        <is>
          <t>연종리</t>
        </is>
      </c>
      <c r="H11086" s="3" t="inlineStr">
        <is>
          <t>생산관리지역</t>
        </is>
      </c>
      <c r="I11086" s="3" t="inlineStr">
        <is>
          <t>전</t>
        </is>
      </c>
      <c r="J11086" s="3" t="inlineStr">
        <is>
          <t>유구읍</t>
        </is>
      </c>
    </row>
    <row r="11087">
      <c r="A11087" s="3" t="n">
        <v>2022</v>
      </c>
      <c r="B11087" s="4" t="n">
        <v>3750</v>
      </c>
      <c r="C11087" s="4" t="n">
        <v>608</v>
      </c>
      <c r="D11087" s="4" t="n">
        <v>183.92</v>
      </c>
      <c r="E11087" s="5" t="n">
        <v>20.4</v>
      </c>
      <c r="F11087" s="3" t="inlineStr">
        <is>
          <t>유구읍</t>
        </is>
      </c>
      <c r="G11087" s="3" t="inlineStr">
        <is>
          <t>연종리</t>
        </is>
      </c>
      <c r="H11087" s="3" t="inlineStr">
        <is>
          <t>생산관리지역</t>
        </is>
      </c>
      <c r="I11087" s="3" t="inlineStr">
        <is>
          <t>답</t>
        </is>
      </c>
      <c r="J11087" s="3" t="inlineStr">
        <is>
          <t>유구읍</t>
        </is>
      </c>
    </row>
    <row r="11088">
      <c r="A11088" s="3" t="n">
        <v>2022</v>
      </c>
      <c r="B11088" s="4" t="n">
        <v>500</v>
      </c>
      <c r="C11088" s="4" t="n">
        <v>61</v>
      </c>
      <c r="D11088" s="4" t="n">
        <v>18.4525</v>
      </c>
      <c r="E11088" s="5" t="n">
        <v>27.1</v>
      </c>
      <c r="F11088" s="3" t="inlineStr">
        <is>
          <t>유구읍</t>
        </is>
      </c>
      <c r="G11088" s="3" t="inlineStr">
        <is>
          <t>연종리</t>
        </is>
      </c>
      <c r="H11088" s="3" t="inlineStr">
        <is>
          <t>생산관리지역</t>
        </is>
      </c>
      <c r="I11088" s="3" t="inlineStr">
        <is>
          <t>대</t>
        </is>
      </c>
      <c r="J11088" s="3" t="inlineStr">
        <is>
          <t>유구읍</t>
        </is>
      </c>
    </row>
    <row r="11089">
      <c r="A11089" s="3" t="n">
        <v>2022</v>
      </c>
      <c r="B11089" s="4" t="n">
        <v>1000</v>
      </c>
      <c r="C11089" s="4" t="n">
        <v>174</v>
      </c>
      <c r="D11089" s="4" t="n">
        <v>52.635</v>
      </c>
      <c r="E11089" s="5" t="n">
        <v>19</v>
      </c>
      <c r="F11089" s="3" t="inlineStr">
        <is>
          <t>유구읍</t>
        </is>
      </c>
      <c r="G11089" s="3" t="inlineStr">
        <is>
          <t>연종리</t>
        </is>
      </c>
      <c r="H11089" s="3" t="inlineStr">
        <is>
          <t>생산관리지역</t>
        </is>
      </c>
      <c r="I11089" s="3" t="inlineStr">
        <is>
          <t>대</t>
        </is>
      </c>
      <c r="J11089" s="3" t="inlineStr">
        <is>
          <t>유구읍</t>
        </is>
      </c>
    </row>
    <row r="11090">
      <c r="A11090" s="3" t="n">
        <v>2022</v>
      </c>
      <c r="B11090" s="4" t="n">
        <v>21000</v>
      </c>
      <c r="C11090" s="4" t="n">
        <v>718</v>
      </c>
      <c r="D11090" s="4" t="n">
        <v>217.195</v>
      </c>
      <c r="E11090" s="5" t="n">
        <v>96.7</v>
      </c>
      <c r="F11090" s="3" t="inlineStr">
        <is>
          <t>유구읍</t>
        </is>
      </c>
      <c r="G11090" s="3" t="inlineStr">
        <is>
          <t>유구리</t>
        </is>
      </c>
      <c r="H11090" s="3" t="inlineStr">
        <is>
          <t>자연녹지지역</t>
        </is>
      </c>
      <c r="I11090" s="3" t="inlineStr">
        <is>
          <t>답</t>
        </is>
      </c>
      <c r="J11090" s="3" t="inlineStr">
        <is>
          <t>유구읍</t>
        </is>
      </c>
    </row>
    <row r="11091">
      <c r="A11091" s="3" t="n">
        <v>2022</v>
      </c>
      <c r="B11091" s="4" t="n">
        <v>18200</v>
      </c>
      <c r="C11091" s="4" t="n">
        <v>2301</v>
      </c>
      <c r="D11091" s="4" t="n">
        <v>696.0525</v>
      </c>
      <c r="E11091" s="5" t="n">
        <v>26.1</v>
      </c>
      <c r="F11091" s="3" t="inlineStr">
        <is>
          <t>유구읍</t>
        </is>
      </c>
      <c r="G11091" s="3" t="inlineStr">
        <is>
          <t>문금리</t>
        </is>
      </c>
      <c r="H11091" s="3" t="inlineStr">
        <is>
          <t>계획관리지역</t>
        </is>
      </c>
      <c r="I11091" s="3" t="inlineStr">
        <is>
          <t>답</t>
        </is>
      </c>
      <c r="J11091" s="3" t="inlineStr">
        <is>
          <t>유구읍</t>
        </is>
      </c>
    </row>
    <row r="11092">
      <c r="A11092" s="3" t="n">
        <v>2022</v>
      </c>
      <c r="B11092" s="4" t="n">
        <v>100000</v>
      </c>
      <c r="C11092" s="4" t="n">
        <v>17256</v>
      </c>
      <c r="D11092" s="4" t="n">
        <v>5219.94</v>
      </c>
      <c r="E11092" s="5" t="n">
        <v>19.2</v>
      </c>
      <c r="F11092" s="3" t="inlineStr">
        <is>
          <t>유구읍</t>
        </is>
      </c>
      <c r="G11092" s="3" t="inlineStr">
        <is>
          <t>녹천리</t>
        </is>
      </c>
      <c r="H11092" s="3" t="inlineStr">
        <is>
          <t>농림지역</t>
        </is>
      </c>
      <c r="I11092" s="3" t="inlineStr">
        <is>
          <t>공장용지</t>
        </is>
      </c>
      <c r="J11092" s="3" t="inlineStr">
        <is>
          <t>유구읍</t>
        </is>
      </c>
    </row>
    <row r="11093">
      <c r="A11093" s="3" t="n">
        <v>2022</v>
      </c>
      <c r="B11093" s="4" t="n">
        <v>1110</v>
      </c>
      <c r="C11093" s="4" t="n">
        <v>228</v>
      </c>
      <c r="D11093" s="4" t="n">
        <v>68.97</v>
      </c>
      <c r="E11093" s="5" t="n">
        <v>16.1</v>
      </c>
      <c r="F11093" s="3" t="inlineStr">
        <is>
          <t>유구읍</t>
        </is>
      </c>
      <c r="G11093" s="3" t="inlineStr">
        <is>
          <t>입석리</t>
        </is>
      </c>
      <c r="H11093" s="3" t="inlineStr">
        <is>
          <t>보전관리지역</t>
        </is>
      </c>
      <c r="I11093" s="3" t="inlineStr">
        <is>
          <t>답</t>
        </is>
      </c>
      <c r="J11093" s="3" t="inlineStr">
        <is>
          <t>유구읍</t>
        </is>
      </c>
    </row>
    <row r="11094">
      <c r="A11094" s="3" t="n">
        <v>2022</v>
      </c>
      <c r="B11094" s="4" t="n">
        <v>3500</v>
      </c>
      <c r="C11094" s="4" t="n">
        <v>504</v>
      </c>
      <c r="D11094" s="4" t="n">
        <v>152.46</v>
      </c>
      <c r="E11094" s="5" t="n">
        <v>23</v>
      </c>
      <c r="F11094" s="3" t="inlineStr">
        <is>
          <t>유구읍</t>
        </is>
      </c>
      <c r="G11094" s="3" t="inlineStr">
        <is>
          <t>녹천리</t>
        </is>
      </c>
      <c r="H11094" s="3" t="inlineStr">
        <is>
          <t>준공업지역</t>
        </is>
      </c>
      <c r="I11094" s="3" t="inlineStr">
        <is>
          <t>유지</t>
        </is>
      </c>
      <c r="J11094" s="3" t="inlineStr">
        <is>
          <t>유구읍</t>
        </is>
      </c>
    </row>
    <row r="11095">
      <c r="A11095" s="3" t="n">
        <v>2022</v>
      </c>
      <c r="B11095" s="4" t="n">
        <v>16500</v>
      </c>
      <c r="C11095" s="4" t="n">
        <v>4450.4</v>
      </c>
      <c r="D11095" s="4" t="n">
        <v>1346.246</v>
      </c>
      <c r="E11095" s="5" t="n">
        <v>12.3</v>
      </c>
      <c r="F11095" s="3" t="inlineStr">
        <is>
          <t>유구읍</t>
        </is>
      </c>
      <c r="G11095" s="3" t="inlineStr">
        <is>
          <t>추계리</t>
        </is>
      </c>
      <c r="H11095" s="3" t="inlineStr">
        <is>
          <t>농림지역</t>
        </is>
      </c>
      <c r="I11095" s="3" t="inlineStr">
        <is>
          <t>답</t>
        </is>
      </c>
      <c r="J11095" s="3" t="inlineStr">
        <is>
          <t>유구읍</t>
        </is>
      </c>
    </row>
    <row r="11096">
      <c r="A11096" s="3" t="n">
        <v>2022</v>
      </c>
      <c r="B11096" s="4" t="n">
        <v>11500</v>
      </c>
      <c r="C11096" s="4" t="n">
        <v>298</v>
      </c>
      <c r="D11096" s="4" t="n">
        <v>90.145</v>
      </c>
      <c r="E11096" s="5" t="n">
        <v>127.6</v>
      </c>
      <c r="F11096" s="3" t="inlineStr">
        <is>
          <t>유구읍</t>
        </is>
      </c>
      <c r="G11096" s="3" t="inlineStr">
        <is>
          <t>백교리</t>
        </is>
      </c>
      <c r="H11096" s="3" t="inlineStr">
        <is>
          <t>일반상업지역</t>
        </is>
      </c>
      <c r="I11096" s="3" t="inlineStr">
        <is>
          <t>대</t>
        </is>
      </c>
      <c r="J11096" s="3" t="inlineStr">
        <is>
          <t>유구읍</t>
        </is>
      </c>
    </row>
    <row r="11097">
      <c r="A11097" s="3" t="n">
        <v>2022</v>
      </c>
      <c r="B11097" s="4" t="n">
        <v>3500</v>
      </c>
      <c r="C11097" s="4" t="n">
        <v>330</v>
      </c>
      <c r="D11097" s="4" t="n">
        <v>99.825</v>
      </c>
      <c r="E11097" s="5" t="n">
        <v>35.1</v>
      </c>
      <c r="F11097" s="3" t="inlineStr">
        <is>
          <t>유구읍</t>
        </is>
      </c>
      <c r="G11097" s="3" t="inlineStr">
        <is>
          <t>백교리</t>
        </is>
      </c>
      <c r="H11097" s="3" t="inlineStr">
        <is>
          <t>자연녹지지역</t>
        </is>
      </c>
      <c r="I11097" s="3" t="inlineStr">
        <is>
          <t>전</t>
        </is>
      </c>
      <c r="J11097" s="3" t="inlineStr">
        <is>
          <t>유구읍</t>
        </is>
      </c>
    </row>
    <row r="11098">
      <c r="A11098" s="3" t="n">
        <v>2022</v>
      </c>
      <c r="B11098" s="4" t="n">
        <v>2315</v>
      </c>
      <c r="C11098" s="4" t="n">
        <v>1531</v>
      </c>
      <c r="D11098" s="4" t="n">
        <v>463.1275</v>
      </c>
      <c r="E11098" s="5" t="n">
        <v>5</v>
      </c>
      <c r="F11098" s="3" t="inlineStr">
        <is>
          <t>유구읍</t>
        </is>
      </c>
      <c r="G11098" s="3" t="inlineStr">
        <is>
          <t>만천리</t>
        </is>
      </c>
      <c r="H11098" s="3" t="inlineStr">
        <is>
          <t>계획관리지역</t>
        </is>
      </c>
      <c r="I11098" s="3" t="inlineStr">
        <is>
          <t>임야</t>
        </is>
      </c>
      <c r="J11098" s="3" t="inlineStr">
        <is>
          <t>유구읍</t>
        </is>
      </c>
    </row>
    <row r="11099">
      <c r="A11099" s="3" t="n">
        <v>2022</v>
      </c>
      <c r="B11099" s="4" t="n">
        <v>4100</v>
      </c>
      <c r="C11099" s="4" t="n">
        <v>853</v>
      </c>
      <c r="D11099" s="4" t="n">
        <v>258.0325</v>
      </c>
      <c r="E11099" s="5" t="n">
        <v>15.9</v>
      </c>
      <c r="F11099" s="3" t="inlineStr">
        <is>
          <t>유구읍</t>
        </is>
      </c>
      <c r="G11099" s="3" t="inlineStr">
        <is>
          <t>녹천리</t>
        </is>
      </c>
      <c r="H11099" s="3" t="inlineStr">
        <is>
          <t>계획관리지역</t>
        </is>
      </c>
      <c r="I11099" s="3" t="inlineStr">
        <is>
          <t>답</t>
        </is>
      </c>
      <c r="J11099" s="3" t="inlineStr">
        <is>
          <t>유구읍</t>
        </is>
      </c>
    </row>
    <row r="11100">
      <c r="A11100" s="3" t="n">
        <v>2022</v>
      </c>
      <c r="B11100" s="4" t="n">
        <v>1000</v>
      </c>
      <c r="C11100" s="4" t="n">
        <v>198</v>
      </c>
      <c r="D11100" s="4" t="n">
        <v>59.895</v>
      </c>
      <c r="E11100" s="5" t="n">
        <v>16.7</v>
      </c>
      <c r="F11100" s="3" t="inlineStr">
        <is>
          <t>유구읍</t>
        </is>
      </c>
      <c r="G11100" s="3" t="inlineStr">
        <is>
          <t>녹천리</t>
        </is>
      </c>
      <c r="H11100" s="3" t="inlineStr">
        <is>
          <t>계획관리지역</t>
        </is>
      </c>
      <c r="I11100" s="3" t="inlineStr">
        <is>
          <t>답</t>
        </is>
      </c>
      <c r="J11100" s="3" t="inlineStr">
        <is>
          <t>유구읍</t>
        </is>
      </c>
    </row>
    <row r="11101">
      <c r="A11101" s="3" t="n">
        <v>2022</v>
      </c>
      <c r="B11101" s="4" t="n">
        <v>1700</v>
      </c>
      <c r="C11101" s="4" t="n">
        <v>261</v>
      </c>
      <c r="D11101" s="4" t="n">
        <v>78.9525</v>
      </c>
      <c r="E11101" s="5" t="n">
        <v>21.5</v>
      </c>
      <c r="F11101" s="3" t="inlineStr">
        <is>
          <t>유구읍</t>
        </is>
      </c>
      <c r="G11101" s="3" t="inlineStr">
        <is>
          <t>백교리</t>
        </is>
      </c>
      <c r="H11101" s="3" t="inlineStr">
        <is>
          <t>계획관리지역</t>
        </is>
      </c>
      <c r="I11101" s="3" t="inlineStr">
        <is>
          <t>전</t>
        </is>
      </c>
      <c r="J11101" s="3" t="inlineStr">
        <is>
          <t>유구읍</t>
        </is>
      </c>
    </row>
    <row r="11102">
      <c r="A11102" s="3" t="n">
        <v>2023</v>
      </c>
      <c r="B11102" s="4" t="n">
        <v>13500</v>
      </c>
      <c r="C11102" s="4" t="n">
        <v>2340</v>
      </c>
      <c r="D11102" s="4" t="n">
        <v>707.85</v>
      </c>
      <c r="E11102" s="5" t="n">
        <v>19.1</v>
      </c>
      <c r="F11102" s="3" t="inlineStr">
        <is>
          <t>전의면</t>
        </is>
      </c>
      <c r="G11102" s="3" t="inlineStr">
        <is>
          <t>달전리</t>
        </is>
      </c>
      <c r="H11102" s="3" t="inlineStr">
        <is>
          <t>생산관리지역</t>
        </is>
      </c>
      <c r="I11102" s="3" t="inlineStr">
        <is>
          <t>전</t>
        </is>
      </c>
      <c r="J11102" s="3" t="inlineStr">
        <is>
          <t>전의면</t>
        </is>
      </c>
    </row>
    <row r="11103">
      <c r="A11103" s="3" t="n">
        <v>2025</v>
      </c>
      <c r="B11103" s="4" t="n">
        <v>179</v>
      </c>
      <c r="C11103" s="4" t="n">
        <v>12</v>
      </c>
      <c r="D11103" s="4" t="n">
        <v>3.63</v>
      </c>
      <c r="E11103" s="5" t="n">
        <v>49.3</v>
      </c>
      <c r="F11103" s="3" t="inlineStr">
        <is>
          <t>부강면</t>
        </is>
      </c>
      <c r="G11103" s="3" t="inlineStr">
        <is>
          <t>등곡리</t>
        </is>
      </c>
      <c r="H11103" s="3" t="inlineStr">
        <is>
          <t>보전관리지역</t>
        </is>
      </c>
      <c r="I11103" s="3" t="inlineStr">
        <is>
          <t>임야</t>
        </is>
      </c>
      <c r="J11103" s="3" t="inlineStr">
        <is>
          <t>부강면</t>
        </is>
      </c>
    </row>
    <row r="11104">
      <c r="A11104" s="3" t="n">
        <v>2025</v>
      </c>
      <c r="B11104" s="4" t="n">
        <v>209</v>
      </c>
      <c r="C11104" s="4" t="n">
        <v>14</v>
      </c>
      <c r="D11104" s="4" t="n">
        <v>4.234999999999999</v>
      </c>
      <c r="E11104" s="5" t="n">
        <v>49.4</v>
      </c>
      <c r="F11104" s="3" t="inlineStr">
        <is>
          <t>부강면</t>
        </is>
      </c>
      <c r="G11104" s="3" t="inlineStr">
        <is>
          <t>등곡리</t>
        </is>
      </c>
      <c r="H11104" s="3" t="inlineStr">
        <is>
          <t>보전관리지역</t>
        </is>
      </c>
      <c r="I11104" s="3" t="inlineStr">
        <is>
          <t>임야</t>
        </is>
      </c>
      <c r="J11104" s="3" t="inlineStr">
        <is>
          <t>부강면</t>
        </is>
      </c>
    </row>
    <row r="11105">
      <c r="A11105" s="3" t="n">
        <v>2025</v>
      </c>
      <c r="B11105" s="4" t="n">
        <v>1571</v>
      </c>
      <c r="C11105" s="4" t="n">
        <v>105</v>
      </c>
      <c r="D11105" s="4" t="n">
        <v>31.7625</v>
      </c>
      <c r="E11105" s="5" t="n">
        <v>49.5</v>
      </c>
      <c r="F11105" s="3" t="inlineStr">
        <is>
          <t>부강면</t>
        </is>
      </c>
      <c r="G11105" s="3" t="inlineStr">
        <is>
          <t>등곡리</t>
        </is>
      </c>
      <c r="H11105" s="3" t="inlineStr">
        <is>
          <t>계획관리지역</t>
        </is>
      </c>
      <c r="I11105" s="3" t="inlineStr">
        <is>
          <t>공장용지</t>
        </is>
      </c>
      <c r="J11105" s="3" t="inlineStr">
        <is>
          <t>부강면</t>
        </is>
      </c>
    </row>
    <row r="11106">
      <c r="A11106" s="3" t="n">
        <v>2025</v>
      </c>
      <c r="B11106" s="4" t="n">
        <v>299</v>
      </c>
      <c r="C11106" s="4" t="n">
        <v>20</v>
      </c>
      <c r="D11106" s="4" t="n">
        <v>6.05</v>
      </c>
      <c r="E11106" s="5" t="n">
        <v>49.4</v>
      </c>
      <c r="F11106" s="3" t="inlineStr">
        <is>
          <t>부강면</t>
        </is>
      </c>
      <c r="G11106" s="3" t="inlineStr">
        <is>
          <t>등곡리</t>
        </is>
      </c>
      <c r="H11106" s="3" t="inlineStr">
        <is>
          <t>계획관리지역</t>
        </is>
      </c>
      <c r="I11106" s="3" t="inlineStr">
        <is>
          <t>공장용지</t>
        </is>
      </c>
      <c r="J11106" s="3" t="inlineStr">
        <is>
          <t>부강면</t>
        </is>
      </c>
    </row>
    <row r="11107">
      <c r="A11107" s="3" t="n">
        <v>2025</v>
      </c>
      <c r="B11107" s="4" t="n">
        <v>823</v>
      </c>
      <c r="C11107" s="4" t="n">
        <v>55</v>
      </c>
      <c r="D11107" s="4" t="n">
        <v>16.6375</v>
      </c>
      <c r="E11107" s="5" t="n">
        <v>49.5</v>
      </c>
      <c r="F11107" s="3" t="inlineStr">
        <is>
          <t>부강면</t>
        </is>
      </c>
      <c r="G11107" s="3" t="inlineStr">
        <is>
          <t>등곡리</t>
        </is>
      </c>
      <c r="H11107" s="3" t="inlineStr">
        <is>
          <t>계획관리지역</t>
        </is>
      </c>
      <c r="I11107" s="3" t="inlineStr">
        <is>
          <t>임야</t>
        </is>
      </c>
      <c r="J11107" s="3" t="inlineStr">
        <is>
          <t>부강면</t>
        </is>
      </c>
    </row>
    <row r="11108">
      <c r="A11108" s="3" t="n">
        <v>2025</v>
      </c>
      <c r="B11108" s="4" t="n">
        <v>419</v>
      </c>
      <c r="C11108" s="4" t="n">
        <v>28</v>
      </c>
      <c r="D11108" s="4" t="n">
        <v>8.469999999999999</v>
      </c>
      <c r="E11108" s="5" t="n">
        <v>49.5</v>
      </c>
      <c r="F11108" s="3" t="inlineStr">
        <is>
          <t>부강면</t>
        </is>
      </c>
      <c r="G11108" s="3" t="inlineStr">
        <is>
          <t>등곡리</t>
        </is>
      </c>
      <c r="H11108" s="3" t="inlineStr">
        <is>
          <t>계획관리지역</t>
        </is>
      </c>
      <c r="I11108" s="3" t="inlineStr">
        <is>
          <t>임야</t>
        </is>
      </c>
      <c r="J11108" s="3" t="inlineStr">
        <is>
          <t>부강면</t>
        </is>
      </c>
    </row>
    <row r="11109">
      <c r="A11109" s="3" t="n">
        <v>2025</v>
      </c>
      <c r="B11109" s="4" t="n">
        <v>34000</v>
      </c>
      <c r="C11109" s="4" t="n">
        <v>3554</v>
      </c>
      <c r="D11109" s="4" t="n">
        <v>1075.085</v>
      </c>
      <c r="E11109" s="5" t="n">
        <v>31.6</v>
      </c>
      <c r="F11109" s="3" t="inlineStr">
        <is>
          <t>금남면</t>
        </is>
      </c>
      <c r="G11109" s="3" t="inlineStr">
        <is>
          <t>영대리</t>
        </is>
      </c>
      <c r="H11109" s="3" t="inlineStr">
        <is>
          <t>개발제한구역</t>
        </is>
      </c>
      <c r="I11109" s="3" t="inlineStr">
        <is>
          <t>답</t>
        </is>
      </c>
      <c r="J11109" s="3" t="inlineStr">
        <is>
          <t>금남면</t>
        </is>
      </c>
    </row>
    <row r="11110">
      <c r="A11110" s="3" t="n">
        <v>2025</v>
      </c>
      <c r="B11110" s="4" t="n">
        <v>350000</v>
      </c>
      <c r="C11110" s="4" t="n">
        <v>1554</v>
      </c>
      <c r="D11110" s="4" t="n">
        <v>470.085</v>
      </c>
      <c r="E11110" s="5" t="n">
        <v>744.5</v>
      </c>
      <c r="F11110" s="3" t="inlineStr">
        <is>
          <t>집현동</t>
        </is>
      </c>
      <c r="G11110" s="3" t="inlineStr"/>
      <c r="H11110" s="3" t="inlineStr">
        <is>
          <t>제2종일반주거지역</t>
        </is>
      </c>
      <c r="I11110" s="3" t="inlineStr">
        <is>
          <t>종교용지</t>
        </is>
      </c>
      <c r="J11110" s="3" t="inlineStr">
        <is>
          <t>집현동</t>
        </is>
      </c>
    </row>
    <row r="11111">
      <c r="A11111" s="3" t="n">
        <v>2025</v>
      </c>
      <c r="B11111" s="4" t="n">
        <v>113500</v>
      </c>
      <c r="C11111" s="4" t="n">
        <v>1501</v>
      </c>
      <c r="D11111" s="4" t="n">
        <v>454.0525</v>
      </c>
      <c r="E11111" s="5" t="n">
        <v>250</v>
      </c>
      <c r="F11111" s="3" t="inlineStr">
        <is>
          <t>장군면</t>
        </is>
      </c>
      <c r="G11111" s="3" t="inlineStr">
        <is>
          <t>은용리</t>
        </is>
      </c>
      <c r="H11111" s="3" t="inlineStr">
        <is>
          <t>계획관리지역</t>
        </is>
      </c>
      <c r="I11111" s="3" t="inlineStr">
        <is>
          <t>전</t>
        </is>
      </c>
      <c r="J11111" s="3" t="inlineStr">
        <is>
          <t>장군면</t>
        </is>
      </c>
    </row>
    <row r="11112">
      <c r="A11112" s="3" t="n">
        <v>2025</v>
      </c>
      <c r="B11112" s="4" t="n">
        <v>4000</v>
      </c>
      <c r="C11112" s="4" t="n">
        <v>72</v>
      </c>
      <c r="D11112" s="4" t="n">
        <v>21.78</v>
      </c>
      <c r="E11112" s="5" t="n">
        <v>183.7</v>
      </c>
      <c r="F11112" s="3" t="inlineStr">
        <is>
          <t>금남면</t>
        </is>
      </c>
      <c r="G11112" s="3" t="inlineStr">
        <is>
          <t>용담리</t>
        </is>
      </c>
      <c r="H11112" s="3" t="inlineStr">
        <is>
          <t>개발제한구역</t>
        </is>
      </c>
      <c r="I11112" s="3" t="inlineStr">
        <is>
          <t>전</t>
        </is>
      </c>
      <c r="J11112" s="3" t="inlineStr">
        <is>
          <t>금남면</t>
        </is>
      </c>
    </row>
    <row r="11113">
      <c r="A11113" s="3" t="n">
        <v>2025</v>
      </c>
      <c r="B11113" s="4" t="n">
        <v>2100</v>
      </c>
      <c r="C11113" s="4" t="n">
        <v>2152</v>
      </c>
      <c r="D11113" s="4" t="n">
        <v>650.98</v>
      </c>
      <c r="E11113" s="5" t="n">
        <v>3.2</v>
      </c>
      <c r="F11113" s="3" t="inlineStr">
        <is>
          <t>전의면</t>
        </is>
      </c>
      <c r="G11113" s="3" t="inlineStr">
        <is>
          <t>원성리</t>
        </is>
      </c>
      <c r="H11113" s="3" t="inlineStr">
        <is>
          <t>보전관리지역</t>
        </is>
      </c>
      <c r="I11113" s="3" t="inlineStr">
        <is>
          <t>전</t>
        </is>
      </c>
      <c r="J11113" s="3" t="inlineStr">
        <is>
          <t>전의면</t>
        </is>
      </c>
    </row>
    <row r="11114">
      <c r="A11114" s="3" t="n">
        <v>2025</v>
      </c>
      <c r="B11114" s="4" t="n">
        <v>16790</v>
      </c>
      <c r="C11114" s="4" t="n">
        <v>1762</v>
      </c>
      <c r="D11114" s="4" t="n">
        <v>533.005</v>
      </c>
      <c r="E11114" s="5" t="n">
        <v>31.5</v>
      </c>
      <c r="F11114" s="3" t="inlineStr">
        <is>
          <t>전의면</t>
        </is>
      </c>
      <c r="G11114" s="3" t="inlineStr">
        <is>
          <t>원성리</t>
        </is>
      </c>
      <c r="H11114" s="3" t="inlineStr">
        <is>
          <t>보전관리지역</t>
        </is>
      </c>
      <c r="I11114" s="3" t="inlineStr">
        <is>
          <t>전</t>
        </is>
      </c>
      <c r="J11114" s="3" t="inlineStr">
        <is>
          <t>전의면</t>
        </is>
      </c>
    </row>
    <row r="11115">
      <c r="A11115" s="3" t="n">
        <v>2025</v>
      </c>
      <c r="B11115" s="4" t="n">
        <v>47850</v>
      </c>
      <c r="C11115" s="4" t="n">
        <v>5273</v>
      </c>
      <c r="D11115" s="4" t="n">
        <v>1595.0825</v>
      </c>
      <c r="E11115" s="5" t="n">
        <v>30</v>
      </c>
      <c r="F11115" s="3" t="inlineStr">
        <is>
          <t>전의면</t>
        </is>
      </c>
      <c r="G11115" s="3" t="inlineStr">
        <is>
          <t>원성리</t>
        </is>
      </c>
      <c r="H11115" s="3" t="inlineStr">
        <is>
          <t>보전관리지역</t>
        </is>
      </c>
      <c r="I11115" s="3" t="inlineStr">
        <is>
          <t>답</t>
        </is>
      </c>
      <c r="J11115" s="3" t="inlineStr">
        <is>
          <t>전의면</t>
        </is>
      </c>
    </row>
    <row r="11116">
      <c r="A11116" s="3" t="n">
        <v>2025</v>
      </c>
      <c r="B11116" s="4" t="n">
        <v>46000</v>
      </c>
      <c r="C11116" s="4" t="n">
        <v>6358</v>
      </c>
      <c r="D11116" s="4" t="n">
        <v>1923.295</v>
      </c>
      <c r="E11116" s="5" t="n">
        <v>23.9</v>
      </c>
      <c r="F11116" s="3" t="inlineStr">
        <is>
          <t>장군면</t>
        </is>
      </c>
      <c r="G11116" s="3" t="inlineStr">
        <is>
          <t>은용리</t>
        </is>
      </c>
      <c r="H11116" s="3" t="inlineStr">
        <is>
          <t>보전관리지역</t>
        </is>
      </c>
      <c r="I11116" s="3" t="inlineStr">
        <is>
          <t>임야</t>
        </is>
      </c>
      <c r="J11116" s="3" t="inlineStr">
        <is>
          <t>장군면</t>
        </is>
      </c>
    </row>
    <row r="11117">
      <c r="A11117" s="3" t="n">
        <v>2025</v>
      </c>
      <c r="B11117" s="4" t="n">
        <v>70000</v>
      </c>
      <c r="C11117" s="4" t="n">
        <v>3328.1</v>
      </c>
      <c r="D11117" s="4" t="n">
        <v>1006.75025</v>
      </c>
      <c r="E11117" s="5" t="n">
        <v>69.5</v>
      </c>
      <c r="F11117" s="3" t="inlineStr">
        <is>
          <t>연서면</t>
        </is>
      </c>
      <c r="G11117" s="3" t="inlineStr">
        <is>
          <t>쌍류리</t>
        </is>
      </c>
      <c r="H11117" s="3" t="inlineStr">
        <is>
          <t>생산관리지역</t>
        </is>
      </c>
      <c r="I11117" s="3" t="inlineStr">
        <is>
          <t>전</t>
        </is>
      </c>
      <c r="J11117" s="3" t="inlineStr">
        <is>
          <t>연서면</t>
        </is>
      </c>
    </row>
    <row r="11118">
      <c r="A11118" s="3" t="n">
        <v>2025</v>
      </c>
      <c r="B11118" s="4" t="n">
        <v>5300</v>
      </c>
      <c r="C11118" s="4" t="n">
        <v>893</v>
      </c>
      <c r="D11118" s="4" t="n">
        <v>270.1325</v>
      </c>
      <c r="E11118" s="5" t="n">
        <v>19.6</v>
      </c>
      <c r="F11118" s="3" t="inlineStr">
        <is>
          <t>금남면</t>
        </is>
      </c>
      <c r="G11118" s="3" t="inlineStr">
        <is>
          <t>축산리</t>
        </is>
      </c>
      <c r="H11118" s="3" t="inlineStr">
        <is>
          <t>개발제한구역</t>
        </is>
      </c>
      <c r="I11118" s="3" t="inlineStr">
        <is>
          <t>전</t>
        </is>
      </c>
      <c r="J11118" s="3" t="inlineStr">
        <is>
          <t>금남면</t>
        </is>
      </c>
    </row>
    <row r="11119">
      <c r="A11119" s="3" t="n">
        <v>2025</v>
      </c>
      <c r="B11119" s="4" t="n">
        <v>43926</v>
      </c>
      <c r="C11119" s="4" t="n">
        <v>753</v>
      </c>
      <c r="D11119" s="4" t="n">
        <v>227.7825</v>
      </c>
      <c r="E11119" s="5" t="n">
        <v>192.8</v>
      </c>
      <c r="F11119" s="3" t="inlineStr">
        <is>
          <t>연동면</t>
        </is>
      </c>
      <c r="G11119" s="3" t="inlineStr">
        <is>
          <t>내판리</t>
        </is>
      </c>
      <c r="H11119" s="3" t="inlineStr">
        <is>
          <t>계획관리지역</t>
        </is>
      </c>
      <c r="I11119" s="3" t="inlineStr">
        <is>
          <t>임야</t>
        </is>
      </c>
      <c r="J11119" s="3" t="inlineStr">
        <is>
          <t>연동면</t>
        </is>
      </c>
    </row>
    <row r="11120">
      <c r="A11120" s="3" t="n">
        <v>2025</v>
      </c>
      <c r="B11120" s="4" t="n">
        <v>12775</v>
      </c>
      <c r="C11120" s="4" t="n">
        <v>219</v>
      </c>
      <c r="D11120" s="4" t="n">
        <v>66.2475</v>
      </c>
      <c r="E11120" s="5" t="n">
        <v>192.8</v>
      </c>
      <c r="F11120" s="3" t="inlineStr">
        <is>
          <t>연동면</t>
        </is>
      </c>
      <c r="G11120" s="3" t="inlineStr">
        <is>
          <t>내판리</t>
        </is>
      </c>
      <c r="H11120" s="3" t="inlineStr">
        <is>
          <t>계획관리지역</t>
        </is>
      </c>
      <c r="I11120" s="3" t="inlineStr">
        <is>
          <t>임야</t>
        </is>
      </c>
      <c r="J11120" s="3" t="inlineStr">
        <is>
          <t>연동면</t>
        </is>
      </c>
    </row>
    <row r="11121">
      <c r="A11121" s="3" t="n">
        <v>2025</v>
      </c>
      <c r="B11121" s="4" t="n">
        <v>3500</v>
      </c>
      <c r="C11121" s="4" t="n">
        <v>60</v>
      </c>
      <c r="D11121" s="4" t="n">
        <v>18.15</v>
      </c>
      <c r="E11121" s="5" t="n">
        <v>192.8</v>
      </c>
      <c r="F11121" s="3" t="inlineStr">
        <is>
          <t>연동면</t>
        </is>
      </c>
      <c r="G11121" s="3" t="inlineStr">
        <is>
          <t>내판리</t>
        </is>
      </c>
      <c r="H11121" s="3" t="inlineStr">
        <is>
          <t>계획관리지역</t>
        </is>
      </c>
      <c r="I11121" s="3" t="inlineStr">
        <is>
          <t>임야</t>
        </is>
      </c>
      <c r="J11121" s="3" t="inlineStr">
        <is>
          <t>연동면</t>
        </is>
      </c>
    </row>
    <row r="11122">
      <c r="A11122" s="3" t="n">
        <v>2025</v>
      </c>
      <c r="B11122" s="4" t="n">
        <v>16000</v>
      </c>
      <c r="C11122" s="4" t="n">
        <v>678</v>
      </c>
      <c r="D11122" s="4" t="n">
        <v>205.095</v>
      </c>
      <c r="E11122" s="5" t="n">
        <v>78</v>
      </c>
      <c r="F11122" s="3" t="inlineStr">
        <is>
          <t>전동면</t>
        </is>
      </c>
      <c r="G11122" s="3" t="inlineStr">
        <is>
          <t>송곡리</t>
        </is>
      </c>
      <c r="H11122" s="3" t="inlineStr">
        <is>
          <t>보전관리지역</t>
        </is>
      </c>
      <c r="I11122" s="3" t="inlineStr">
        <is>
          <t>전</t>
        </is>
      </c>
      <c r="J11122" s="3" t="inlineStr">
        <is>
          <t>전동면</t>
        </is>
      </c>
    </row>
    <row r="11123">
      <c r="A11123" s="3" t="n">
        <v>2022</v>
      </c>
      <c r="B11123" s="4" t="n">
        <v>35800</v>
      </c>
      <c r="C11123" s="4" t="n">
        <v>496</v>
      </c>
      <c r="D11123" s="4" t="n">
        <v>150.04</v>
      </c>
      <c r="E11123" s="5" t="n">
        <v>238.6</v>
      </c>
      <c r="F11123" s="3" t="inlineStr">
        <is>
          <t>금남면</t>
        </is>
      </c>
      <c r="G11123" s="3" t="inlineStr">
        <is>
          <t>원봉리</t>
        </is>
      </c>
      <c r="H11123" s="3" t="inlineStr">
        <is>
          <t>계획관리지역</t>
        </is>
      </c>
      <c r="I11123" s="3" t="inlineStr">
        <is>
          <t>답</t>
        </is>
      </c>
      <c r="J11123" s="3" t="inlineStr">
        <is>
          <t>금남면</t>
        </is>
      </c>
    </row>
    <row r="11124">
      <c r="A11124" s="3" t="n">
        <v>2022</v>
      </c>
      <c r="B11124" s="4" t="n">
        <v>3000</v>
      </c>
      <c r="C11124" s="4" t="n">
        <v>331</v>
      </c>
      <c r="D11124" s="4" t="n">
        <v>100.1275</v>
      </c>
      <c r="E11124" s="5" t="n">
        <v>30</v>
      </c>
      <c r="F11124" s="3" t="inlineStr">
        <is>
          <t>소정면</t>
        </is>
      </c>
      <c r="G11124" s="3" t="inlineStr">
        <is>
          <t>고등리</t>
        </is>
      </c>
      <c r="H11124" s="3" t="inlineStr">
        <is>
          <t>계획관리지역</t>
        </is>
      </c>
      <c r="I11124" s="3" t="inlineStr">
        <is>
          <t>전</t>
        </is>
      </c>
      <c r="J11124" s="3" t="inlineStr">
        <is>
          <t>소정면</t>
        </is>
      </c>
    </row>
    <row r="11125">
      <c r="A11125" s="3" t="n">
        <v>2022</v>
      </c>
      <c r="B11125" s="4" t="n">
        <v>380</v>
      </c>
      <c r="C11125" s="4" t="n">
        <v>21</v>
      </c>
      <c r="D11125" s="4" t="n">
        <v>6.3525</v>
      </c>
      <c r="E11125" s="5" t="n">
        <v>59.8</v>
      </c>
      <c r="F11125" s="3" t="inlineStr">
        <is>
          <t>금남면</t>
        </is>
      </c>
      <c r="G11125" s="3" t="inlineStr">
        <is>
          <t>영곡리</t>
        </is>
      </c>
      <c r="H11125" s="3" t="inlineStr">
        <is>
          <t>농림지역</t>
        </is>
      </c>
      <c r="I11125" s="3" t="inlineStr">
        <is>
          <t>답</t>
        </is>
      </c>
      <c r="J11125" s="3" t="inlineStr">
        <is>
          <t>금남면</t>
        </is>
      </c>
    </row>
    <row r="11126">
      <c r="A11126" s="3" t="n">
        <v>2022</v>
      </c>
      <c r="B11126" s="4" t="n">
        <v>7400</v>
      </c>
      <c r="C11126" s="4" t="n">
        <v>431</v>
      </c>
      <c r="D11126" s="4" t="n">
        <v>130.3775</v>
      </c>
      <c r="E11126" s="5" t="n">
        <v>56.8</v>
      </c>
      <c r="F11126" s="3" t="inlineStr">
        <is>
          <t>금남면</t>
        </is>
      </c>
      <c r="G11126" s="3" t="inlineStr">
        <is>
          <t>발산리</t>
        </is>
      </c>
      <c r="H11126" s="3" t="inlineStr">
        <is>
          <t>보전녹지지역</t>
        </is>
      </c>
      <c r="I11126" s="3" t="inlineStr">
        <is>
          <t>답</t>
        </is>
      </c>
      <c r="J11126" s="3" t="inlineStr">
        <is>
          <t>금남면</t>
        </is>
      </c>
    </row>
    <row r="11127">
      <c r="A11127" s="3" t="n">
        <v>2022</v>
      </c>
      <c r="B11127" s="4" t="n">
        <v>165100</v>
      </c>
      <c r="C11127" s="4" t="n">
        <v>3794.3</v>
      </c>
      <c r="D11127" s="4" t="n">
        <v>1147.77575</v>
      </c>
      <c r="E11127" s="5" t="n">
        <v>143.8</v>
      </c>
      <c r="F11127" s="3" t="inlineStr">
        <is>
          <t>장군면</t>
        </is>
      </c>
      <c r="G11127" s="3" t="inlineStr">
        <is>
          <t>용암리</t>
        </is>
      </c>
      <c r="H11127" s="3" t="inlineStr">
        <is>
          <t>생산관리지역</t>
        </is>
      </c>
      <c r="I11127" s="3" t="inlineStr">
        <is>
          <t>답</t>
        </is>
      </c>
      <c r="J11127" s="3" t="inlineStr">
        <is>
          <t>장군면</t>
        </is>
      </c>
    </row>
    <row r="11128">
      <c r="A11128" s="3" t="n">
        <v>2022</v>
      </c>
      <c r="B11128" s="4" t="n">
        <v>69216</v>
      </c>
      <c r="C11128" s="4" t="n">
        <v>1475</v>
      </c>
      <c r="D11128" s="4" t="n">
        <v>446.1875</v>
      </c>
      <c r="E11128" s="5" t="n">
        <v>155.1</v>
      </c>
      <c r="F11128" s="3" t="inlineStr">
        <is>
          <t>연서면</t>
        </is>
      </c>
      <c r="G11128" s="3" t="inlineStr">
        <is>
          <t>고복리</t>
        </is>
      </c>
      <c r="H11128" s="3" t="inlineStr">
        <is>
          <t>보전관리지역</t>
        </is>
      </c>
      <c r="I11128" s="3" t="inlineStr">
        <is>
          <t>임야</t>
        </is>
      </c>
      <c r="J11128" s="3" t="inlineStr">
        <is>
          <t>연서면</t>
        </is>
      </c>
    </row>
    <row r="11129">
      <c r="A11129" s="3" t="n">
        <v>2022</v>
      </c>
      <c r="B11129" s="4" t="n">
        <v>376000</v>
      </c>
      <c r="C11129" s="4" t="n">
        <v>12428</v>
      </c>
      <c r="D11129" s="4" t="n">
        <v>3759.47</v>
      </c>
      <c r="E11129" s="5" t="n">
        <v>100</v>
      </c>
      <c r="F11129" s="3" t="inlineStr">
        <is>
          <t>장군면</t>
        </is>
      </c>
      <c r="G11129" s="3" t="inlineStr">
        <is>
          <t>대교리</t>
        </is>
      </c>
      <c r="H11129" s="3" t="inlineStr">
        <is>
          <t>보전관리지역</t>
        </is>
      </c>
      <c r="I11129" s="3" t="inlineStr">
        <is>
          <t>임야</t>
        </is>
      </c>
      <c r="J11129" s="3" t="inlineStr">
        <is>
          <t>장군면</t>
        </is>
      </c>
    </row>
    <row r="11130">
      <c r="A11130" s="3" t="n">
        <v>2022</v>
      </c>
      <c r="B11130" s="4" t="n">
        <v>200000</v>
      </c>
      <c r="C11130" s="4" t="n">
        <v>13794</v>
      </c>
      <c r="D11130" s="4" t="n">
        <v>4172.684999999999</v>
      </c>
      <c r="E11130" s="5" t="n">
        <v>47.9</v>
      </c>
      <c r="F11130" s="3" t="inlineStr">
        <is>
          <t>장군면</t>
        </is>
      </c>
      <c r="G11130" s="3" t="inlineStr">
        <is>
          <t>평기리</t>
        </is>
      </c>
      <c r="H11130" s="3" t="inlineStr">
        <is>
          <t>보전관리지역</t>
        </is>
      </c>
      <c r="I11130" s="3" t="inlineStr">
        <is>
          <t>임야</t>
        </is>
      </c>
      <c r="J11130" s="3" t="inlineStr">
        <is>
          <t>장군면</t>
        </is>
      </c>
    </row>
    <row r="11131">
      <c r="A11131" s="3" t="n">
        <v>2022</v>
      </c>
      <c r="B11131" s="4" t="n">
        <v>191600</v>
      </c>
      <c r="C11131" s="4" t="n">
        <v>13209</v>
      </c>
      <c r="D11131" s="4" t="n">
        <v>3995.7225</v>
      </c>
      <c r="E11131" s="5" t="n">
        <v>48</v>
      </c>
      <c r="F11131" s="3" t="inlineStr">
        <is>
          <t>장군면</t>
        </is>
      </c>
      <c r="G11131" s="3" t="inlineStr">
        <is>
          <t>평기리</t>
        </is>
      </c>
      <c r="H11131" s="3" t="inlineStr">
        <is>
          <t>보전관리지역</t>
        </is>
      </c>
      <c r="I11131" s="3" t="inlineStr">
        <is>
          <t>임야</t>
        </is>
      </c>
      <c r="J11131" s="3" t="inlineStr">
        <is>
          <t>장군면</t>
        </is>
      </c>
    </row>
    <row r="11132">
      <c r="A11132" s="3" t="n">
        <v>2022</v>
      </c>
      <c r="B11132" s="4" t="n">
        <v>3485</v>
      </c>
      <c r="C11132" s="4" t="n">
        <v>144</v>
      </c>
      <c r="D11132" s="4" t="n">
        <v>43.56</v>
      </c>
      <c r="E11132" s="5" t="n">
        <v>80</v>
      </c>
      <c r="F11132" s="3" t="inlineStr">
        <is>
          <t>장군면</t>
        </is>
      </c>
      <c r="G11132" s="3" t="inlineStr">
        <is>
          <t>평기리</t>
        </is>
      </c>
      <c r="H11132" s="3" t="inlineStr">
        <is>
          <t>보전관리지역</t>
        </is>
      </c>
      <c r="I11132" s="3" t="inlineStr">
        <is>
          <t>전</t>
        </is>
      </c>
      <c r="J11132" s="3" t="inlineStr">
        <is>
          <t>장군면</t>
        </is>
      </c>
    </row>
    <row r="11133">
      <c r="A11133" s="3" t="n">
        <v>2022</v>
      </c>
      <c r="B11133" s="4" t="n">
        <v>6994</v>
      </c>
      <c r="C11133" s="4" t="n">
        <v>289</v>
      </c>
      <c r="D11133" s="4" t="n">
        <v>87.4225</v>
      </c>
      <c r="E11133" s="5" t="n">
        <v>80</v>
      </c>
      <c r="F11133" s="3" t="inlineStr">
        <is>
          <t>장군면</t>
        </is>
      </c>
      <c r="G11133" s="3" t="inlineStr">
        <is>
          <t>평기리</t>
        </is>
      </c>
      <c r="H11133" s="3" t="inlineStr">
        <is>
          <t>보전관리지역</t>
        </is>
      </c>
      <c r="I11133" s="3" t="inlineStr">
        <is>
          <t>목장용지</t>
        </is>
      </c>
      <c r="J11133" s="3" t="inlineStr">
        <is>
          <t>장군면</t>
        </is>
      </c>
    </row>
    <row r="11134">
      <c r="A11134" s="3" t="n">
        <v>2022</v>
      </c>
      <c r="B11134" s="4" t="n">
        <v>1291</v>
      </c>
      <c r="C11134" s="4" t="n">
        <v>53</v>
      </c>
      <c r="D11134" s="4" t="n">
        <v>16.0325</v>
      </c>
      <c r="E11134" s="5" t="n">
        <v>80.5</v>
      </c>
      <c r="F11134" s="3" t="inlineStr">
        <is>
          <t>장군면</t>
        </is>
      </c>
      <c r="G11134" s="3" t="inlineStr">
        <is>
          <t>평기리</t>
        </is>
      </c>
      <c r="H11134" s="3" t="inlineStr">
        <is>
          <t>보전관리지역</t>
        </is>
      </c>
      <c r="I11134" s="3" t="inlineStr">
        <is>
          <t>목장용지</t>
        </is>
      </c>
      <c r="J11134" s="3" t="inlineStr">
        <is>
          <t>장군면</t>
        </is>
      </c>
    </row>
    <row r="11135">
      <c r="A11135" s="3" t="n">
        <v>2022</v>
      </c>
      <c r="B11135" s="4" t="n">
        <v>12970</v>
      </c>
      <c r="C11135" s="4" t="n">
        <v>536</v>
      </c>
      <c r="D11135" s="4" t="n">
        <v>162.14</v>
      </c>
      <c r="E11135" s="5" t="n">
        <v>80</v>
      </c>
      <c r="F11135" s="3" t="inlineStr">
        <is>
          <t>장군면</t>
        </is>
      </c>
      <c r="G11135" s="3" t="inlineStr">
        <is>
          <t>평기리</t>
        </is>
      </c>
      <c r="H11135" s="3" t="inlineStr">
        <is>
          <t>보전관리지역</t>
        </is>
      </c>
      <c r="I11135" s="3" t="inlineStr">
        <is>
          <t>답</t>
        </is>
      </c>
      <c r="J11135" s="3" t="inlineStr">
        <is>
          <t>장군면</t>
        </is>
      </c>
    </row>
    <row r="11136">
      <c r="A11136" s="3" t="n">
        <v>2022</v>
      </c>
      <c r="B11136" s="4" t="n">
        <v>33700</v>
      </c>
      <c r="C11136" s="4" t="n">
        <v>450</v>
      </c>
      <c r="D11136" s="4" t="n">
        <v>136.125</v>
      </c>
      <c r="E11136" s="5" t="n">
        <v>247.6</v>
      </c>
      <c r="F11136" s="3" t="inlineStr">
        <is>
          <t>장군면</t>
        </is>
      </c>
      <c r="G11136" s="3" t="inlineStr">
        <is>
          <t>대교리</t>
        </is>
      </c>
      <c r="H11136" s="3" t="inlineStr">
        <is>
          <t>보전관리지역</t>
        </is>
      </c>
      <c r="I11136" s="3" t="inlineStr">
        <is>
          <t>대</t>
        </is>
      </c>
      <c r="J11136" s="3" t="inlineStr">
        <is>
          <t>장군면</t>
        </is>
      </c>
    </row>
    <row r="11137">
      <c r="A11137" s="3" t="n">
        <v>2023</v>
      </c>
      <c r="B11137" s="4" t="n">
        <v>16280</v>
      </c>
      <c r="C11137" s="4" t="n">
        <v>1454</v>
      </c>
      <c r="D11137" s="4" t="n">
        <v>439.835</v>
      </c>
      <c r="E11137" s="5" t="n">
        <v>37</v>
      </c>
      <c r="F11137" s="3" t="inlineStr">
        <is>
          <t>장군면</t>
        </is>
      </c>
      <c r="G11137" s="3" t="inlineStr">
        <is>
          <t>송학리</t>
        </is>
      </c>
      <c r="H11137" s="3" t="inlineStr">
        <is>
          <t>계획관리지역</t>
        </is>
      </c>
      <c r="I11137" s="3" t="inlineStr">
        <is>
          <t>전</t>
        </is>
      </c>
      <c r="J11137" s="3" t="inlineStr">
        <is>
          <t>장군면</t>
        </is>
      </c>
    </row>
    <row r="11138">
      <c r="A11138" s="3" t="n">
        <v>2023</v>
      </c>
      <c r="B11138" s="4" t="n">
        <v>41834</v>
      </c>
      <c r="C11138" s="4" t="n">
        <v>1524</v>
      </c>
      <c r="D11138" s="4" t="n">
        <v>461.01</v>
      </c>
      <c r="E11138" s="5" t="n">
        <v>90.7</v>
      </c>
      <c r="F11138" s="3" t="inlineStr">
        <is>
          <t>금남면</t>
        </is>
      </c>
      <c r="G11138" s="3" t="inlineStr">
        <is>
          <t>영곡리</t>
        </is>
      </c>
      <c r="H11138" s="3" t="inlineStr">
        <is>
          <t>생산관리지역</t>
        </is>
      </c>
      <c r="I11138" s="3" t="inlineStr">
        <is>
          <t>전</t>
        </is>
      </c>
      <c r="J11138" s="3" t="inlineStr">
        <is>
          <t>금남면</t>
        </is>
      </c>
    </row>
    <row r="11139">
      <c r="A11139" s="3" t="n">
        <v>2023</v>
      </c>
      <c r="B11139" s="4" t="n">
        <v>95000</v>
      </c>
      <c r="C11139" s="4" t="n">
        <v>861</v>
      </c>
      <c r="D11139" s="4" t="n">
        <v>260.4525</v>
      </c>
      <c r="E11139" s="5" t="n">
        <v>364.7</v>
      </c>
      <c r="F11139" s="3" t="inlineStr">
        <is>
          <t>장군면</t>
        </is>
      </c>
      <c r="G11139" s="3" t="inlineStr">
        <is>
          <t>금암리</t>
        </is>
      </c>
      <c r="H11139" s="3" t="inlineStr">
        <is>
          <t>계획관리지역</t>
        </is>
      </c>
      <c r="I11139" s="3" t="inlineStr">
        <is>
          <t>대</t>
        </is>
      </c>
      <c r="J11139" s="3" t="inlineStr">
        <is>
          <t>장군면</t>
        </is>
      </c>
    </row>
    <row r="11140">
      <c r="A11140" s="3" t="n">
        <v>2023</v>
      </c>
      <c r="B11140" s="4" t="n">
        <v>12018</v>
      </c>
      <c r="C11140" s="4" t="n">
        <v>442</v>
      </c>
      <c r="D11140" s="4" t="n">
        <v>133.705</v>
      </c>
      <c r="E11140" s="5" t="n">
        <v>89.90000000000001</v>
      </c>
      <c r="F11140" s="3" t="inlineStr">
        <is>
          <t>장군면</t>
        </is>
      </c>
      <c r="G11140" s="3" t="inlineStr">
        <is>
          <t>하봉리</t>
        </is>
      </c>
      <c r="H11140" s="3" t="inlineStr">
        <is>
          <t>계획관리지역</t>
        </is>
      </c>
      <c r="I11140" s="3" t="inlineStr">
        <is>
          <t>전</t>
        </is>
      </c>
      <c r="J11140" s="3" t="inlineStr">
        <is>
          <t>장군면</t>
        </is>
      </c>
    </row>
    <row r="11141">
      <c r="A11141" s="3" t="n">
        <v>2023</v>
      </c>
      <c r="B11141" s="4" t="n">
        <v>16000</v>
      </c>
      <c r="C11141" s="4" t="n">
        <v>1127</v>
      </c>
      <c r="D11141" s="4" t="n">
        <v>340.9175</v>
      </c>
      <c r="E11141" s="5" t="n">
        <v>46.9</v>
      </c>
      <c r="F11141" s="3" t="inlineStr">
        <is>
          <t>부강면</t>
        </is>
      </c>
      <c r="G11141" s="3" t="inlineStr">
        <is>
          <t>문곡리</t>
        </is>
      </c>
      <c r="H11141" s="3" t="inlineStr">
        <is>
          <t>생산관리지역</t>
        </is>
      </c>
      <c r="I11141" s="3" t="inlineStr">
        <is>
          <t>전</t>
        </is>
      </c>
      <c r="J11141" s="3" t="inlineStr">
        <is>
          <t>부강면</t>
        </is>
      </c>
    </row>
    <row r="11142">
      <c r="A11142" s="3" t="n">
        <v>2023</v>
      </c>
      <c r="B11142" s="4" t="n">
        <v>20000</v>
      </c>
      <c r="C11142" s="4" t="n">
        <v>380</v>
      </c>
      <c r="D11142" s="4" t="n">
        <v>114.95</v>
      </c>
      <c r="E11142" s="5" t="n">
        <v>174</v>
      </c>
      <c r="F11142" s="3" t="inlineStr">
        <is>
          <t>장군면</t>
        </is>
      </c>
      <c r="G11142" s="3" t="inlineStr">
        <is>
          <t>송학리</t>
        </is>
      </c>
      <c r="H11142" s="3" t="inlineStr">
        <is>
          <t>계획관리지역</t>
        </is>
      </c>
      <c r="I11142" s="3" t="inlineStr">
        <is>
          <t>전</t>
        </is>
      </c>
      <c r="J11142" s="3" t="inlineStr">
        <is>
          <t>장군면</t>
        </is>
      </c>
    </row>
    <row r="11143">
      <c r="A11143" s="3" t="n">
        <v>2023</v>
      </c>
      <c r="B11143" s="4" t="n">
        <v>32643</v>
      </c>
      <c r="C11143" s="4" t="n">
        <v>830</v>
      </c>
      <c r="D11143" s="4" t="n">
        <v>251.075</v>
      </c>
      <c r="E11143" s="5" t="n">
        <v>130</v>
      </c>
      <c r="F11143" s="3" t="inlineStr">
        <is>
          <t>장군면</t>
        </is>
      </c>
      <c r="G11143" s="3" t="inlineStr">
        <is>
          <t>산학리</t>
        </is>
      </c>
      <c r="H11143" s="3" t="inlineStr">
        <is>
          <t>농림지역</t>
        </is>
      </c>
      <c r="I11143" s="3" t="inlineStr">
        <is>
          <t>임야</t>
        </is>
      </c>
      <c r="J11143" s="3" t="inlineStr">
        <is>
          <t>장군면</t>
        </is>
      </c>
    </row>
    <row r="11144">
      <c r="A11144" s="3" t="n">
        <v>2023</v>
      </c>
      <c r="B11144" s="4" t="n">
        <v>35154</v>
      </c>
      <c r="C11144" s="4" t="n">
        <v>891</v>
      </c>
      <c r="D11144" s="4" t="n">
        <v>269.5275</v>
      </c>
      <c r="E11144" s="5" t="n">
        <v>130.4</v>
      </c>
      <c r="F11144" s="3" t="inlineStr">
        <is>
          <t>장군면</t>
        </is>
      </c>
      <c r="G11144" s="3" t="inlineStr">
        <is>
          <t>산학리</t>
        </is>
      </c>
      <c r="H11144" s="3" t="inlineStr">
        <is>
          <t>농림지역</t>
        </is>
      </c>
      <c r="I11144" s="3" t="inlineStr">
        <is>
          <t>임야</t>
        </is>
      </c>
      <c r="J11144" s="3" t="inlineStr">
        <is>
          <t>장군면</t>
        </is>
      </c>
    </row>
    <row r="11145">
      <c r="A11145" s="3" t="n">
        <v>2023</v>
      </c>
      <c r="B11145" s="4" t="n">
        <v>35028</v>
      </c>
      <c r="C11145" s="4" t="n">
        <v>827</v>
      </c>
      <c r="D11145" s="4" t="n">
        <v>250.1675</v>
      </c>
      <c r="E11145" s="5" t="n">
        <v>140</v>
      </c>
      <c r="F11145" s="3" t="inlineStr">
        <is>
          <t>장군면</t>
        </is>
      </c>
      <c r="G11145" s="3" t="inlineStr">
        <is>
          <t>산학리</t>
        </is>
      </c>
      <c r="H11145" s="3" t="inlineStr">
        <is>
          <t>농림지역</t>
        </is>
      </c>
      <c r="I11145" s="3" t="inlineStr">
        <is>
          <t>임야</t>
        </is>
      </c>
      <c r="J11145" s="3" t="inlineStr">
        <is>
          <t>장군면</t>
        </is>
      </c>
    </row>
    <row r="11146">
      <c r="A11146" s="3" t="n">
        <v>2023</v>
      </c>
      <c r="B11146" s="4" t="n">
        <v>51000</v>
      </c>
      <c r="C11146" s="4" t="n">
        <v>2579</v>
      </c>
      <c r="D11146" s="4" t="n">
        <v>780.1474999999999</v>
      </c>
      <c r="E11146" s="5" t="n">
        <v>65.40000000000001</v>
      </c>
      <c r="F11146" s="3" t="inlineStr">
        <is>
          <t>연동면</t>
        </is>
      </c>
      <c r="G11146" s="3" t="inlineStr">
        <is>
          <t>내판리</t>
        </is>
      </c>
      <c r="H11146" s="3" t="inlineStr">
        <is>
          <t>계획관리지역</t>
        </is>
      </c>
      <c r="I11146" s="3" t="inlineStr">
        <is>
          <t>임야</t>
        </is>
      </c>
      <c r="J11146" s="3" t="inlineStr">
        <is>
          <t>연동면</t>
        </is>
      </c>
    </row>
    <row r="11147">
      <c r="A11147" s="3" t="n">
        <v>2023</v>
      </c>
      <c r="B11147" s="4" t="n">
        <v>29265</v>
      </c>
      <c r="C11147" s="4" t="n">
        <v>450</v>
      </c>
      <c r="D11147" s="4" t="n">
        <v>136.125</v>
      </c>
      <c r="E11147" s="5" t="n">
        <v>215</v>
      </c>
      <c r="F11147" s="3" t="inlineStr">
        <is>
          <t>장군면</t>
        </is>
      </c>
      <c r="G11147" s="3" t="inlineStr">
        <is>
          <t>대교리</t>
        </is>
      </c>
      <c r="H11147" s="3" t="inlineStr">
        <is>
          <t>보전관리지역</t>
        </is>
      </c>
      <c r="I11147" s="3" t="inlineStr">
        <is>
          <t>대</t>
        </is>
      </c>
      <c r="J11147" s="3" t="inlineStr">
        <is>
          <t>장군면</t>
        </is>
      </c>
    </row>
    <row r="11148">
      <c r="A11148" s="3" t="n">
        <v>2023</v>
      </c>
      <c r="B11148" s="4" t="n">
        <v>2000</v>
      </c>
      <c r="C11148" s="4" t="n">
        <v>344</v>
      </c>
      <c r="D11148" s="4" t="n">
        <v>104.06</v>
      </c>
      <c r="E11148" s="5" t="n">
        <v>19.2</v>
      </c>
      <c r="F11148" s="3" t="inlineStr">
        <is>
          <t>유구읍</t>
        </is>
      </c>
      <c r="G11148" s="3" t="inlineStr">
        <is>
          <t>녹천리</t>
        </is>
      </c>
      <c r="H11148" s="3" t="inlineStr">
        <is>
          <t>계획관리지역</t>
        </is>
      </c>
      <c r="I11148" s="3" t="inlineStr">
        <is>
          <t>대</t>
        </is>
      </c>
      <c r="J11148" s="3" t="inlineStr">
        <is>
          <t>유구읍</t>
        </is>
      </c>
    </row>
    <row r="11149">
      <c r="A11149" s="3" t="n">
        <v>2023</v>
      </c>
      <c r="B11149" s="4" t="n">
        <v>9000</v>
      </c>
      <c r="C11149" s="4" t="n">
        <v>2020</v>
      </c>
      <c r="D11149" s="4" t="n">
        <v>611.05</v>
      </c>
      <c r="E11149" s="5" t="n">
        <v>14.7</v>
      </c>
      <c r="F11149" s="3" t="inlineStr">
        <is>
          <t>유구읍</t>
        </is>
      </c>
      <c r="G11149" s="3" t="inlineStr">
        <is>
          <t>녹천리</t>
        </is>
      </c>
      <c r="H11149" s="3" t="inlineStr">
        <is>
          <t>계획관리지역</t>
        </is>
      </c>
      <c r="I11149" s="3" t="inlineStr">
        <is>
          <t>답</t>
        </is>
      </c>
      <c r="J11149" s="3" t="inlineStr">
        <is>
          <t>유구읍</t>
        </is>
      </c>
    </row>
    <row r="11150">
      <c r="A11150" s="3" t="n">
        <v>2023</v>
      </c>
      <c r="B11150" s="4" t="n">
        <v>300</v>
      </c>
      <c r="C11150" s="4" t="n">
        <v>62</v>
      </c>
      <c r="D11150" s="4" t="n">
        <v>18.755</v>
      </c>
      <c r="E11150" s="5" t="n">
        <v>16</v>
      </c>
      <c r="F11150" s="3" t="inlineStr">
        <is>
          <t>유구읍</t>
        </is>
      </c>
      <c r="G11150" s="3" t="inlineStr">
        <is>
          <t>문금리</t>
        </is>
      </c>
      <c r="H11150" s="3" t="inlineStr">
        <is>
          <t>계획관리지역</t>
        </is>
      </c>
      <c r="I11150" s="3" t="inlineStr">
        <is>
          <t>대</t>
        </is>
      </c>
      <c r="J11150" s="3" t="inlineStr">
        <is>
          <t>유구읍</t>
        </is>
      </c>
    </row>
    <row r="11151">
      <c r="A11151" s="3" t="n">
        <v>2023</v>
      </c>
      <c r="B11151" s="4" t="n">
        <v>500</v>
      </c>
      <c r="C11151" s="4" t="n">
        <v>172</v>
      </c>
      <c r="D11151" s="4" t="n">
        <v>52.03</v>
      </c>
      <c r="E11151" s="5" t="n">
        <v>9.6</v>
      </c>
      <c r="F11151" s="3" t="inlineStr">
        <is>
          <t>유구읍</t>
        </is>
      </c>
      <c r="G11151" s="3" t="inlineStr">
        <is>
          <t>명곡리</t>
        </is>
      </c>
      <c r="H11151" s="3" t="inlineStr">
        <is>
          <t>계획관리지역</t>
        </is>
      </c>
      <c r="I11151" s="3" t="inlineStr">
        <is>
          <t>하천</t>
        </is>
      </c>
      <c r="J11151" s="3" t="inlineStr">
        <is>
          <t>유구읍</t>
        </is>
      </c>
    </row>
    <row r="11152">
      <c r="A11152" s="3" t="n">
        <v>2023</v>
      </c>
      <c r="B11152" s="4" t="n">
        <v>953</v>
      </c>
      <c r="C11152" s="4" t="n">
        <v>35</v>
      </c>
      <c r="D11152" s="4" t="n">
        <v>10.5875</v>
      </c>
      <c r="E11152" s="5" t="n">
        <v>90</v>
      </c>
      <c r="F11152" s="3" t="inlineStr">
        <is>
          <t>유구읍</t>
        </is>
      </c>
      <c r="G11152" s="3" t="inlineStr">
        <is>
          <t>노동리</t>
        </is>
      </c>
      <c r="H11152" s="3" t="inlineStr">
        <is>
          <t>계획관리지역</t>
        </is>
      </c>
      <c r="I11152" s="3" t="inlineStr">
        <is>
          <t>대</t>
        </is>
      </c>
      <c r="J11152" s="3" t="inlineStr">
        <is>
          <t>유구읍</t>
        </is>
      </c>
    </row>
    <row r="11153">
      <c r="A11153" s="3" t="n">
        <v>2023</v>
      </c>
      <c r="B11153" s="4" t="n">
        <v>3000</v>
      </c>
      <c r="C11153" s="4" t="n">
        <v>552</v>
      </c>
      <c r="D11153" s="4" t="n">
        <v>166.98</v>
      </c>
      <c r="E11153" s="5" t="n">
        <v>18</v>
      </c>
      <c r="F11153" s="3" t="inlineStr">
        <is>
          <t>유구읍</t>
        </is>
      </c>
      <c r="G11153" s="3" t="inlineStr">
        <is>
          <t>문금리</t>
        </is>
      </c>
      <c r="H11153" s="3" t="inlineStr">
        <is>
          <t>계획관리지역</t>
        </is>
      </c>
      <c r="I11153" s="3" t="inlineStr">
        <is>
          <t>전</t>
        </is>
      </c>
      <c r="J11153" s="3" t="inlineStr">
        <is>
          <t>유구읍</t>
        </is>
      </c>
    </row>
    <row r="11154">
      <c r="A11154" s="3" t="n">
        <v>2023</v>
      </c>
      <c r="B11154" s="4" t="n">
        <v>8250</v>
      </c>
      <c r="C11154" s="4" t="n">
        <v>853</v>
      </c>
      <c r="D11154" s="4" t="n">
        <v>258.0325</v>
      </c>
      <c r="E11154" s="5" t="n">
        <v>32</v>
      </c>
      <c r="F11154" s="3" t="inlineStr">
        <is>
          <t>유구읍</t>
        </is>
      </c>
      <c r="G11154" s="3" t="inlineStr">
        <is>
          <t>신영리</t>
        </is>
      </c>
      <c r="H11154" s="3" t="inlineStr">
        <is>
          <t>보전관리지역</t>
        </is>
      </c>
      <c r="I11154" s="3" t="inlineStr">
        <is>
          <t>전</t>
        </is>
      </c>
      <c r="J11154" s="3" t="inlineStr">
        <is>
          <t>유구읍</t>
        </is>
      </c>
    </row>
    <row r="11155">
      <c r="A11155" s="3" t="n">
        <v>2023</v>
      </c>
      <c r="B11155" s="4" t="n">
        <v>8901</v>
      </c>
      <c r="C11155" s="4" t="n">
        <v>3268</v>
      </c>
      <c r="D11155" s="4" t="n">
        <v>988.5699999999999</v>
      </c>
      <c r="E11155" s="5" t="n">
        <v>9</v>
      </c>
      <c r="F11155" s="3" t="inlineStr">
        <is>
          <t>유구읍</t>
        </is>
      </c>
      <c r="G11155" s="3" t="inlineStr">
        <is>
          <t>덕곡리</t>
        </is>
      </c>
      <c r="H11155" s="3" t="inlineStr">
        <is>
          <t>보전관리지역</t>
        </is>
      </c>
      <c r="I11155" s="3" t="inlineStr">
        <is>
          <t>전</t>
        </is>
      </c>
      <c r="J11155" s="3" t="inlineStr">
        <is>
          <t>유구읍</t>
        </is>
      </c>
    </row>
    <row r="11156">
      <c r="A11156" s="3" t="n">
        <v>2023</v>
      </c>
      <c r="B11156" s="4" t="n">
        <v>3006</v>
      </c>
      <c r="C11156" s="4" t="n">
        <v>1104</v>
      </c>
      <c r="D11156" s="4" t="n">
        <v>333.96</v>
      </c>
      <c r="E11156" s="5" t="n">
        <v>9</v>
      </c>
      <c r="F11156" s="3" t="inlineStr">
        <is>
          <t>유구읍</t>
        </is>
      </c>
      <c r="G11156" s="3" t="inlineStr">
        <is>
          <t>덕곡리</t>
        </is>
      </c>
      <c r="H11156" s="3" t="inlineStr">
        <is>
          <t>보전관리지역</t>
        </is>
      </c>
      <c r="I11156" s="3" t="inlineStr">
        <is>
          <t>전</t>
        </is>
      </c>
      <c r="J11156" s="3" t="inlineStr">
        <is>
          <t>유구읍</t>
        </is>
      </c>
    </row>
    <row r="11157">
      <c r="A11157" s="3" t="n">
        <v>2023</v>
      </c>
      <c r="B11157" s="4" t="n">
        <v>2088</v>
      </c>
      <c r="C11157" s="4" t="n">
        <v>767</v>
      </c>
      <c r="D11157" s="4" t="n">
        <v>232.0175</v>
      </c>
      <c r="E11157" s="5" t="n">
        <v>9</v>
      </c>
      <c r="F11157" s="3" t="inlineStr">
        <is>
          <t>유구읍</t>
        </is>
      </c>
      <c r="G11157" s="3" t="inlineStr">
        <is>
          <t>덕곡리</t>
        </is>
      </c>
      <c r="H11157" s="3" t="inlineStr">
        <is>
          <t>보전관리지역</t>
        </is>
      </c>
      <c r="I11157" s="3" t="inlineStr">
        <is>
          <t>전</t>
        </is>
      </c>
      <c r="J11157" s="3" t="inlineStr">
        <is>
          <t>유구읍</t>
        </is>
      </c>
    </row>
    <row r="11158">
      <c r="A11158" s="3" t="n">
        <v>2023</v>
      </c>
      <c r="B11158" s="4" t="n">
        <v>6498</v>
      </c>
      <c r="C11158" s="4" t="n">
        <v>2387</v>
      </c>
      <c r="D11158" s="4" t="n">
        <v>722.0675</v>
      </c>
      <c r="E11158" s="5" t="n">
        <v>9</v>
      </c>
      <c r="F11158" s="3" t="inlineStr">
        <is>
          <t>유구읍</t>
        </is>
      </c>
      <c r="G11158" s="3" t="inlineStr">
        <is>
          <t>덕곡리</t>
        </is>
      </c>
      <c r="H11158" s="3" t="inlineStr">
        <is>
          <t>보전관리지역</t>
        </is>
      </c>
      <c r="I11158" s="3" t="inlineStr">
        <is>
          <t>전</t>
        </is>
      </c>
      <c r="J11158" s="3" t="inlineStr">
        <is>
          <t>유구읍</t>
        </is>
      </c>
    </row>
    <row r="11159">
      <c r="A11159" s="3" t="n">
        <v>2023</v>
      </c>
      <c r="B11159" s="4" t="n">
        <v>5832</v>
      </c>
      <c r="C11159" s="4" t="n">
        <v>2142</v>
      </c>
      <c r="D11159" s="4" t="n">
        <v>647.9549999999999</v>
      </c>
      <c r="E11159" s="5" t="n">
        <v>9</v>
      </c>
      <c r="F11159" s="3" t="inlineStr">
        <is>
          <t>유구읍</t>
        </is>
      </c>
      <c r="G11159" s="3" t="inlineStr">
        <is>
          <t>덕곡리</t>
        </is>
      </c>
      <c r="H11159" s="3" t="inlineStr">
        <is>
          <t>보전관리지역</t>
        </is>
      </c>
      <c r="I11159" s="3" t="inlineStr">
        <is>
          <t>전</t>
        </is>
      </c>
      <c r="J11159" s="3" t="inlineStr">
        <is>
          <t>유구읍</t>
        </is>
      </c>
    </row>
    <row r="11160">
      <c r="A11160" s="3" t="n">
        <v>2023</v>
      </c>
      <c r="B11160" s="4" t="n">
        <v>4932</v>
      </c>
      <c r="C11160" s="4" t="n">
        <v>1812</v>
      </c>
      <c r="D11160" s="4" t="n">
        <v>548.13</v>
      </c>
      <c r="E11160" s="5" t="n">
        <v>9</v>
      </c>
      <c r="F11160" s="3" t="inlineStr">
        <is>
          <t>유구읍</t>
        </is>
      </c>
      <c r="G11160" s="3" t="inlineStr">
        <is>
          <t>덕곡리</t>
        </is>
      </c>
      <c r="H11160" s="3" t="inlineStr">
        <is>
          <t>보전관리지역</t>
        </is>
      </c>
      <c r="I11160" s="3" t="inlineStr">
        <is>
          <t>전</t>
        </is>
      </c>
      <c r="J11160" s="3" t="inlineStr">
        <is>
          <t>유구읍</t>
        </is>
      </c>
    </row>
    <row r="11161">
      <c r="A11161" s="3" t="n">
        <v>2023</v>
      </c>
      <c r="B11161" s="4" t="n">
        <v>5697</v>
      </c>
      <c r="C11161" s="4" t="n">
        <v>2093</v>
      </c>
      <c r="D11161" s="4" t="n">
        <v>633.1324999999999</v>
      </c>
      <c r="E11161" s="5" t="n">
        <v>9</v>
      </c>
      <c r="F11161" s="3" t="inlineStr">
        <is>
          <t>유구읍</t>
        </is>
      </c>
      <c r="G11161" s="3" t="inlineStr">
        <is>
          <t>덕곡리</t>
        </is>
      </c>
      <c r="H11161" s="3" t="inlineStr">
        <is>
          <t>보전관리지역</t>
        </is>
      </c>
      <c r="I11161" s="3" t="inlineStr">
        <is>
          <t>전</t>
        </is>
      </c>
      <c r="J11161" s="3" t="inlineStr">
        <is>
          <t>유구읍</t>
        </is>
      </c>
    </row>
    <row r="11162">
      <c r="A11162" s="3" t="n">
        <v>2023</v>
      </c>
      <c r="B11162" s="4" t="n">
        <v>7192</v>
      </c>
      <c r="C11162" s="4" t="n">
        <v>2973</v>
      </c>
      <c r="D11162" s="4" t="n">
        <v>899.3325</v>
      </c>
      <c r="E11162" s="5" t="n">
        <v>8</v>
      </c>
      <c r="F11162" s="3" t="inlineStr">
        <is>
          <t>유구읍</t>
        </is>
      </c>
      <c r="G11162" s="3" t="inlineStr">
        <is>
          <t>덕곡리</t>
        </is>
      </c>
      <c r="H11162" s="3" t="inlineStr">
        <is>
          <t>보전관리지역</t>
        </is>
      </c>
      <c r="I11162" s="3" t="inlineStr">
        <is>
          <t>답</t>
        </is>
      </c>
      <c r="J11162" s="3" t="inlineStr">
        <is>
          <t>유구읍</t>
        </is>
      </c>
    </row>
    <row r="11163">
      <c r="A11163" s="3" t="n">
        <v>2023</v>
      </c>
      <c r="B11163" s="4" t="n">
        <v>1840</v>
      </c>
      <c r="C11163" s="4" t="n">
        <v>760</v>
      </c>
      <c r="D11163" s="4" t="n">
        <v>229.9</v>
      </c>
      <c r="E11163" s="5" t="n">
        <v>8</v>
      </c>
      <c r="F11163" s="3" t="inlineStr">
        <is>
          <t>유구읍</t>
        </is>
      </c>
      <c r="G11163" s="3" t="inlineStr">
        <is>
          <t>덕곡리</t>
        </is>
      </c>
      <c r="H11163" s="3" t="inlineStr">
        <is>
          <t>보전관리지역</t>
        </is>
      </c>
      <c r="I11163" s="3" t="inlineStr">
        <is>
          <t>답</t>
        </is>
      </c>
      <c r="J11163" s="3" t="inlineStr">
        <is>
          <t>유구읍</t>
        </is>
      </c>
    </row>
    <row r="11164">
      <c r="A11164" s="3" t="n">
        <v>2023</v>
      </c>
      <c r="B11164" s="4" t="n">
        <v>200</v>
      </c>
      <c r="C11164" s="4" t="n">
        <v>155</v>
      </c>
      <c r="D11164" s="4" t="n">
        <v>46.8875</v>
      </c>
      <c r="E11164" s="5" t="n">
        <v>4.3</v>
      </c>
      <c r="F11164" s="3" t="inlineStr">
        <is>
          <t>유구읍</t>
        </is>
      </c>
      <c r="G11164" s="3" t="inlineStr">
        <is>
          <t>덕곡리</t>
        </is>
      </c>
      <c r="H11164" s="3" t="inlineStr">
        <is>
          <t>보전관리지역</t>
        </is>
      </c>
      <c r="I11164" s="3" t="inlineStr">
        <is>
          <t>하천</t>
        </is>
      </c>
      <c r="J11164" s="3" t="inlineStr">
        <is>
          <t>유구읍</t>
        </is>
      </c>
    </row>
    <row r="11165">
      <c r="A11165" s="3" t="n">
        <v>2023</v>
      </c>
      <c r="B11165" s="4" t="n">
        <v>163</v>
      </c>
      <c r="C11165" s="4" t="n">
        <v>126</v>
      </c>
      <c r="D11165" s="4" t="n">
        <v>38.115</v>
      </c>
      <c r="E11165" s="5" t="n">
        <v>4.3</v>
      </c>
      <c r="F11165" s="3" t="inlineStr">
        <is>
          <t>유구읍</t>
        </is>
      </c>
      <c r="G11165" s="3" t="inlineStr">
        <is>
          <t>덕곡리</t>
        </is>
      </c>
      <c r="H11165" s="3" t="inlineStr">
        <is>
          <t>보전관리지역</t>
        </is>
      </c>
      <c r="I11165" s="3" t="inlineStr">
        <is>
          <t>도로</t>
        </is>
      </c>
      <c r="J11165" s="3" t="inlineStr">
        <is>
          <t>유구읍</t>
        </is>
      </c>
    </row>
    <row r="11166">
      <c r="A11166" s="3" t="n">
        <v>2023</v>
      </c>
      <c r="B11166" s="4" t="n">
        <v>452</v>
      </c>
      <c r="C11166" s="4" t="n">
        <v>347</v>
      </c>
      <c r="D11166" s="4" t="n">
        <v>104.9675</v>
      </c>
      <c r="E11166" s="5" t="n">
        <v>4.3</v>
      </c>
      <c r="F11166" s="3" t="inlineStr">
        <is>
          <t>유구읍</t>
        </is>
      </c>
      <c r="G11166" s="3" t="inlineStr">
        <is>
          <t>덕곡리</t>
        </is>
      </c>
      <c r="H11166" s="3" t="inlineStr">
        <is>
          <t>보전관리지역</t>
        </is>
      </c>
      <c r="I11166" s="3" t="inlineStr">
        <is>
          <t>임야</t>
        </is>
      </c>
      <c r="J11166" s="3" t="inlineStr">
        <is>
          <t>유구읍</t>
        </is>
      </c>
    </row>
    <row r="11167">
      <c r="A11167" s="3" t="n">
        <v>2024</v>
      </c>
      <c r="B11167" s="4" t="n">
        <v>37500</v>
      </c>
      <c r="C11167" s="4" t="n">
        <v>1766</v>
      </c>
      <c r="D11167" s="4" t="n">
        <v>534.215</v>
      </c>
      <c r="E11167" s="5" t="n">
        <v>70.2</v>
      </c>
      <c r="F11167" s="3" t="inlineStr">
        <is>
          <t>금남면</t>
        </is>
      </c>
      <c r="G11167" s="3" t="inlineStr">
        <is>
          <t>황용리</t>
        </is>
      </c>
      <c r="H11167" s="3" t="inlineStr">
        <is>
          <t>계획관리지역</t>
        </is>
      </c>
      <c r="I11167" s="3" t="inlineStr">
        <is>
          <t>답</t>
        </is>
      </c>
      <c r="J11167" s="3" t="inlineStr">
        <is>
          <t>금남면</t>
        </is>
      </c>
    </row>
    <row r="11168">
      <c r="A11168" s="3" t="n">
        <v>2024</v>
      </c>
      <c r="B11168" s="4" t="n">
        <v>30000</v>
      </c>
      <c r="C11168" s="4" t="n">
        <v>497</v>
      </c>
      <c r="D11168" s="4" t="n">
        <v>150.3425</v>
      </c>
      <c r="E11168" s="5" t="n">
        <v>199.5</v>
      </c>
      <c r="F11168" s="3" t="inlineStr">
        <is>
          <t>연기면</t>
        </is>
      </c>
      <c r="G11168" s="3" t="inlineStr">
        <is>
          <t>수산리</t>
        </is>
      </c>
      <c r="H11168" s="3" t="inlineStr">
        <is>
          <t>보전관리지역</t>
        </is>
      </c>
      <c r="I11168" s="3" t="inlineStr">
        <is>
          <t>임야</t>
        </is>
      </c>
      <c r="J11168" s="3" t="inlineStr">
        <is>
          <t>연기면</t>
        </is>
      </c>
    </row>
    <row r="11169">
      <c r="A11169" s="3" t="n">
        <v>2024</v>
      </c>
      <c r="B11169" s="4" t="n">
        <v>1425</v>
      </c>
      <c r="C11169" s="4" t="n">
        <v>10</v>
      </c>
      <c r="D11169" s="4" t="n">
        <v>3.025</v>
      </c>
      <c r="E11169" s="5" t="n">
        <v>471.1</v>
      </c>
      <c r="F11169" s="3" t="inlineStr">
        <is>
          <t>금남면</t>
        </is>
      </c>
      <c r="G11169" s="3" t="inlineStr">
        <is>
          <t>황용리</t>
        </is>
      </c>
      <c r="H11169" s="3" t="inlineStr">
        <is>
          <t>계획관리지역</t>
        </is>
      </c>
      <c r="I11169" s="3" t="inlineStr">
        <is>
          <t>대</t>
        </is>
      </c>
      <c r="J11169" s="3" t="inlineStr">
        <is>
          <t>금남면</t>
        </is>
      </c>
    </row>
    <row r="11170">
      <c r="A11170" s="3" t="n">
        <v>2024</v>
      </c>
      <c r="B11170" s="4" t="n">
        <v>50000</v>
      </c>
      <c r="C11170" s="4" t="n">
        <v>896</v>
      </c>
      <c r="D11170" s="4" t="n">
        <v>271.04</v>
      </c>
      <c r="E11170" s="5" t="n">
        <v>184.5</v>
      </c>
      <c r="F11170" s="3" t="inlineStr">
        <is>
          <t>부강면</t>
        </is>
      </c>
      <c r="G11170" s="3" t="inlineStr">
        <is>
          <t>산수리</t>
        </is>
      </c>
      <c r="H11170" s="3" t="inlineStr">
        <is>
          <t>계획관리지역</t>
        </is>
      </c>
      <c r="I11170" s="3" t="inlineStr">
        <is>
          <t>공장용지</t>
        </is>
      </c>
      <c r="J11170" s="3" t="inlineStr">
        <is>
          <t>부강면</t>
        </is>
      </c>
    </row>
    <row r="11171">
      <c r="A11171" s="3" t="n">
        <v>2024</v>
      </c>
      <c r="B11171" s="4" t="n">
        <v>41800</v>
      </c>
      <c r="C11171" s="4" t="n">
        <v>1063</v>
      </c>
      <c r="D11171" s="4" t="n">
        <v>321.5575</v>
      </c>
      <c r="E11171" s="5" t="n">
        <v>130</v>
      </c>
      <c r="F11171" s="3" t="inlineStr">
        <is>
          <t>장군면</t>
        </is>
      </c>
      <c r="G11171" s="3" t="inlineStr">
        <is>
          <t>하봉리</t>
        </is>
      </c>
      <c r="H11171" s="3" t="inlineStr">
        <is>
          <t>자연녹지지역</t>
        </is>
      </c>
      <c r="I11171" s="3" t="inlineStr">
        <is>
          <t>전</t>
        </is>
      </c>
      <c r="J11171" s="3" t="inlineStr">
        <is>
          <t>장군면</t>
        </is>
      </c>
    </row>
    <row r="11172">
      <c r="A11172" s="3" t="n">
        <v>2024</v>
      </c>
      <c r="B11172" s="4" t="n">
        <v>45000</v>
      </c>
      <c r="C11172" s="4" t="n">
        <v>690</v>
      </c>
      <c r="D11172" s="4" t="n">
        <v>208.725</v>
      </c>
      <c r="E11172" s="5" t="n">
        <v>215.6</v>
      </c>
      <c r="F11172" s="3" t="inlineStr">
        <is>
          <t>부강면</t>
        </is>
      </c>
      <c r="G11172" s="3" t="inlineStr">
        <is>
          <t>부강리</t>
        </is>
      </c>
      <c r="H11172" s="3" t="inlineStr">
        <is>
          <t>제2종일반주거지역</t>
        </is>
      </c>
      <c r="I11172" s="3" t="inlineStr">
        <is>
          <t>대</t>
        </is>
      </c>
      <c r="J11172" s="3" t="inlineStr">
        <is>
          <t>부강면</t>
        </is>
      </c>
    </row>
    <row r="11173">
      <c r="A11173" s="3" t="n">
        <v>2024</v>
      </c>
      <c r="B11173" s="4" t="n">
        <v>300</v>
      </c>
      <c r="C11173" s="4" t="n">
        <v>7</v>
      </c>
      <c r="D11173" s="4" t="n">
        <v>2.1175</v>
      </c>
      <c r="E11173" s="5" t="n">
        <v>141.7</v>
      </c>
      <c r="F11173" s="3" t="inlineStr">
        <is>
          <t>조치원읍</t>
        </is>
      </c>
      <c r="G11173" s="3" t="inlineStr">
        <is>
          <t>평리</t>
        </is>
      </c>
      <c r="H11173" s="3" t="inlineStr">
        <is>
          <t>제2종일반주거지역</t>
        </is>
      </c>
      <c r="I11173" s="3" t="inlineStr">
        <is>
          <t>대</t>
        </is>
      </c>
      <c r="J11173" s="3" t="inlineStr">
        <is>
          <t>조치원읍</t>
        </is>
      </c>
    </row>
    <row r="11174">
      <c r="A11174" s="3" t="n">
        <v>2024</v>
      </c>
      <c r="B11174" s="4" t="n">
        <v>150000</v>
      </c>
      <c r="C11174" s="4" t="n">
        <v>6616.8</v>
      </c>
      <c r="D11174" s="4" t="n">
        <v>2001.582</v>
      </c>
      <c r="E11174" s="5" t="n">
        <v>74.90000000000001</v>
      </c>
      <c r="F11174" s="3" t="inlineStr">
        <is>
          <t>연서면</t>
        </is>
      </c>
      <c r="G11174" s="3" t="inlineStr">
        <is>
          <t>쌍전리</t>
        </is>
      </c>
      <c r="H11174" s="3" t="inlineStr">
        <is>
          <t>농림지역</t>
        </is>
      </c>
      <c r="I11174" s="3" t="inlineStr">
        <is>
          <t>답</t>
        </is>
      </c>
      <c r="J11174" s="3" t="inlineStr">
        <is>
          <t>연서면</t>
        </is>
      </c>
    </row>
    <row r="11175">
      <c r="A11175" s="3" t="n">
        <v>2024</v>
      </c>
      <c r="B11175" s="4" t="n">
        <v>13500</v>
      </c>
      <c r="C11175" s="4" t="n">
        <v>997</v>
      </c>
      <c r="D11175" s="4" t="n">
        <v>301.5925</v>
      </c>
      <c r="E11175" s="5" t="n">
        <v>44.8</v>
      </c>
      <c r="F11175" s="3" t="inlineStr">
        <is>
          <t>금남면</t>
        </is>
      </c>
      <c r="G11175" s="3" t="inlineStr">
        <is>
          <t>신촌리</t>
        </is>
      </c>
      <c r="H11175" s="3" t="inlineStr">
        <is>
          <t>개발제한구역</t>
        </is>
      </c>
      <c r="I11175" s="3" t="inlineStr">
        <is>
          <t>임야</t>
        </is>
      </c>
      <c r="J11175" s="3" t="inlineStr">
        <is>
          <t>금남면</t>
        </is>
      </c>
    </row>
    <row r="11176">
      <c r="A11176" s="3" t="n">
        <v>2024</v>
      </c>
      <c r="B11176" s="4" t="n">
        <v>399981</v>
      </c>
      <c r="C11176" s="4" t="n">
        <v>8264.1</v>
      </c>
      <c r="D11176" s="4" t="n">
        <v>2499.89025</v>
      </c>
      <c r="E11176" s="5" t="n">
        <v>160</v>
      </c>
      <c r="F11176" s="3" t="inlineStr">
        <is>
          <t>전동면</t>
        </is>
      </c>
      <c r="G11176" s="3" t="inlineStr">
        <is>
          <t>심중리</t>
        </is>
      </c>
      <c r="H11176" s="3" t="inlineStr">
        <is>
          <t>준공업지역</t>
        </is>
      </c>
      <c r="I11176" s="3" t="inlineStr">
        <is>
          <t>공장용지</t>
        </is>
      </c>
      <c r="J11176" s="3" t="inlineStr">
        <is>
          <t>전동면</t>
        </is>
      </c>
    </row>
    <row r="11177">
      <c r="A11177" s="3" t="n">
        <v>2024</v>
      </c>
      <c r="B11177" s="4" t="n">
        <v>55000</v>
      </c>
      <c r="C11177" s="4" t="n">
        <v>4046</v>
      </c>
      <c r="D11177" s="4" t="n">
        <v>1223.915</v>
      </c>
      <c r="E11177" s="5" t="n">
        <v>44.9</v>
      </c>
      <c r="F11177" s="3" t="inlineStr">
        <is>
          <t>전동면</t>
        </is>
      </c>
      <c r="G11177" s="3" t="inlineStr">
        <is>
          <t>송성리</t>
        </is>
      </c>
      <c r="H11177" s="3" t="inlineStr">
        <is>
          <t>계획관리지역</t>
        </is>
      </c>
      <c r="I11177" s="3" t="inlineStr">
        <is>
          <t>전</t>
        </is>
      </c>
      <c r="J11177" s="3" t="inlineStr">
        <is>
          <t>전동면</t>
        </is>
      </c>
    </row>
    <row r="11178">
      <c r="A11178" s="3" t="n">
        <v>2024</v>
      </c>
      <c r="B11178" s="4" t="n">
        <v>43000</v>
      </c>
      <c r="C11178" s="4" t="n">
        <v>33553</v>
      </c>
      <c r="D11178" s="4" t="n">
        <v>10149.7825</v>
      </c>
      <c r="E11178" s="5" t="n">
        <v>4.2</v>
      </c>
      <c r="F11178" s="3" t="inlineStr">
        <is>
          <t>전의면</t>
        </is>
      </c>
      <c r="G11178" s="3" t="inlineStr">
        <is>
          <t>다방리</t>
        </is>
      </c>
      <c r="H11178" s="3" t="inlineStr">
        <is>
          <t>생산관리지역</t>
        </is>
      </c>
      <c r="I11178" s="3" t="inlineStr">
        <is>
          <t>임야</t>
        </is>
      </c>
      <c r="J11178" s="3" t="inlineStr">
        <is>
          <t>전의면</t>
        </is>
      </c>
    </row>
    <row r="11179">
      <c r="A11179" s="3" t="n">
        <v>2024</v>
      </c>
      <c r="B11179" s="4" t="n">
        <v>48750</v>
      </c>
      <c r="C11179" s="4" t="n">
        <v>2148</v>
      </c>
      <c r="D11179" s="4" t="n">
        <v>649.77</v>
      </c>
      <c r="E11179" s="5" t="n">
        <v>75</v>
      </c>
      <c r="F11179" s="3" t="inlineStr">
        <is>
          <t>조치원읍</t>
        </is>
      </c>
      <c r="G11179" s="3" t="inlineStr">
        <is>
          <t>신안리</t>
        </is>
      </c>
      <c r="H11179" s="3" t="inlineStr">
        <is>
          <t>자연녹지지역</t>
        </is>
      </c>
      <c r="I11179" s="3" t="inlineStr">
        <is>
          <t>임야</t>
        </is>
      </c>
      <c r="J11179" s="3" t="inlineStr">
        <is>
          <t>조치원읍</t>
        </is>
      </c>
    </row>
    <row r="11180">
      <c r="A11180" s="3" t="n">
        <v>2024</v>
      </c>
      <c r="B11180" s="4" t="n">
        <v>18000</v>
      </c>
      <c r="C11180" s="4" t="n">
        <v>549</v>
      </c>
      <c r="D11180" s="4" t="n">
        <v>166.0725</v>
      </c>
      <c r="E11180" s="5" t="n">
        <v>108.4</v>
      </c>
      <c r="F11180" s="3" t="inlineStr">
        <is>
          <t>장군면</t>
        </is>
      </c>
      <c r="G11180" s="3" t="inlineStr">
        <is>
          <t>은용리</t>
        </is>
      </c>
      <c r="H11180" s="3" t="inlineStr">
        <is>
          <t>계획관리지역</t>
        </is>
      </c>
      <c r="I11180" s="3" t="inlineStr">
        <is>
          <t>대</t>
        </is>
      </c>
      <c r="J11180" s="3" t="inlineStr">
        <is>
          <t>장군면</t>
        </is>
      </c>
    </row>
    <row r="11181">
      <c r="A11181" s="3" t="n">
        <v>2024</v>
      </c>
      <c r="B11181" s="4" t="n">
        <v>22230</v>
      </c>
      <c r="C11181" s="4" t="n">
        <v>1132</v>
      </c>
      <c r="D11181" s="4" t="n">
        <v>342.43</v>
      </c>
      <c r="E11181" s="5" t="n">
        <v>64.90000000000001</v>
      </c>
      <c r="F11181" s="3" t="inlineStr">
        <is>
          <t>부강면</t>
        </is>
      </c>
      <c r="G11181" s="3" t="inlineStr">
        <is>
          <t>갈산리</t>
        </is>
      </c>
      <c r="H11181" s="3" t="inlineStr">
        <is>
          <t>계획관리지역</t>
        </is>
      </c>
      <c r="I11181" s="3" t="inlineStr">
        <is>
          <t>전</t>
        </is>
      </c>
      <c r="J11181" s="3" t="inlineStr">
        <is>
          <t>부강면</t>
        </is>
      </c>
    </row>
    <row r="11182">
      <c r="A11182" s="3" t="n">
        <v>2026</v>
      </c>
      <c r="B11182" s="4" t="n">
        <v>150000</v>
      </c>
      <c r="C11182" s="4" t="n">
        <v>426.8</v>
      </c>
      <c r="D11182" s="4" t="n">
        <v>129.107</v>
      </c>
      <c r="E11182" s="5" t="n">
        <v>1161.8</v>
      </c>
      <c r="F11182" s="3" t="inlineStr">
        <is>
          <t>해밀동</t>
        </is>
      </c>
      <c r="G11182" s="3" t="inlineStr"/>
      <c r="H11182" s="3" t="inlineStr">
        <is>
          <t>제2종일반주거지역</t>
        </is>
      </c>
      <c r="I11182" s="3" t="inlineStr">
        <is>
          <t>대</t>
        </is>
      </c>
      <c r="J11182" s="3" t="inlineStr">
        <is>
          <t>해밀동</t>
        </is>
      </c>
    </row>
    <row r="11183">
      <c r="A11183" s="3" t="n">
        <v>2026</v>
      </c>
      <c r="B11183" s="4" t="n">
        <v>16360</v>
      </c>
      <c r="C11183" s="4" t="n">
        <v>1745</v>
      </c>
      <c r="D11183" s="4" t="n">
        <v>527.8625</v>
      </c>
      <c r="E11183" s="5" t="n">
        <v>31</v>
      </c>
      <c r="F11183" s="3" t="inlineStr">
        <is>
          <t>전의면</t>
        </is>
      </c>
      <c r="G11183" s="3" t="inlineStr">
        <is>
          <t>원성리</t>
        </is>
      </c>
      <c r="H11183" s="3" t="inlineStr">
        <is>
          <t>보전관리지역</t>
        </is>
      </c>
      <c r="I11183" s="3" t="inlineStr">
        <is>
          <t>답</t>
        </is>
      </c>
      <c r="J11183" s="3" t="inlineStr">
        <is>
          <t>전의면</t>
        </is>
      </c>
    </row>
    <row r="11184">
      <c r="A11184" s="3" t="n">
        <v>2023</v>
      </c>
      <c r="B11184" s="4" t="n">
        <v>5200</v>
      </c>
      <c r="C11184" s="4" t="n">
        <v>2129</v>
      </c>
      <c r="D11184" s="4" t="n">
        <v>644.0225</v>
      </c>
      <c r="E11184" s="5" t="n">
        <v>8.1</v>
      </c>
      <c r="F11184" s="3" t="inlineStr">
        <is>
          <t>유구읍</t>
        </is>
      </c>
      <c r="G11184" s="3" t="inlineStr">
        <is>
          <t>덕곡리</t>
        </is>
      </c>
      <c r="H11184" s="3" t="inlineStr">
        <is>
          <t>보전관리지역</t>
        </is>
      </c>
      <c r="I11184" s="3" t="inlineStr">
        <is>
          <t>전</t>
        </is>
      </c>
      <c r="J11184" s="3" t="inlineStr">
        <is>
          <t>유구읍</t>
        </is>
      </c>
    </row>
    <row r="11185">
      <c r="A11185" s="3" t="n">
        <v>2023</v>
      </c>
      <c r="B11185" s="4" t="n">
        <v>49000</v>
      </c>
      <c r="C11185" s="4" t="n">
        <v>297.3</v>
      </c>
      <c r="D11185" s="4" t="n">
        <v>89.93325</v>
      </c>
      <c r="E11185" s="5" t="n">
        <v>544.8</v>
      </c>
      <c r="F11185" s="3" t="inlineStr">
        <is>
          <t>다정동</t>
        </is>
      </c>
      <c r="G11185" s="3" t="inlineStr"/>
      <c r="H11185" s="3" t="inlineStr">
        <is>
          <t>제1종전용주거지역</t>
        </is>
      </c>
      <c r="I11185" s="3" t="inlineStr">
        <is>
          <t>대</t>
        </is>
      </c>
      <c r="J11185" s="3" t="inlineStr">
        <is>
          <t>다정동</t>
        </is>
      </c>
    </row>
    <row r="11186">
      <c r="A11186" s="3" t="n">
        <v>2023</v>
      </c>
      <c r="B11186" s="4" t="n">
        <v>60000</v>
      </c>
      <c r="C11186" s="4" t="n">
        <v>392.2</v>
      </c>
      <c r="D11186" s="4" t="n">
        <v>118.6405</v>
      </c>
      <c r="E11186" s="5" t="n">
        <v>505.7</v>
      </c>
      <c r="F11186" s="3" t="inlineStr">
        <is>
          <t>고운동</t>
        </is>
      </c>
      <c r="G11186" s="3" t="inlineStr"/>
      <c r="H11186" s="3" t="inlineStr">
        <is>
          <t>제1종전용주거지역</t>
        </is>
      </c>
      <c r="I11186" s="3" t="inlineStr">
        <is>
          <t>대</t>
        </is>
      </c>
      <c r="J11186" s="3" t="inlineStr">
        <is>
          <t>고운동</t>
        </is>
      </c>
    </row>
    <row r="11187">
      <c r="A11187" s="3" t="n">
        <v>2023</v>
      </c>
      <c r="B11187" s="4" t="n">
        <v>18000</v>
      </c>
      <c r="C11187" s="4" t="n">
        <v>1862</v>
      </c>
      <c r="D11187" s="4" t="n">
        <v>563.255</v>
      </c>
      <c r="E11187" s="5" t="n">
        <v>32</v>
      </c>
      <c r="F11187" s="3" t="inlineStr">
        <is>
          <t>부강면</t>
        </is>
      </c>
      <c r="G11187" s="3" t="inlineStr">
        <is>
          <t>노호리</t>
        </is>
      </c>
      <c r="H11187" s="3" t="inlineStr">
        <is>
          <t>생산관리지역</t>
        </is>
      </c>
      <c r="I11187" s="3" t="inlineStr">
        <is>
          <t>전</t>
        </is>
      </c>
      <c r="J11187" s="3" t="inlineStr">
        <is>
          <t>부강면</t>
        </is>
      </c>
    </row>
    <row r="11188">
      <c r="A11188" s="3" t="n">
        <v>2023</v>
      </c>
      <c r="B11188" s="4" t="n">
        <v>20220</v>
      </c>
      <c r="C11188" s="4" t="n">
        <v>2228</v>
      </c>
      <c r="D11188" s="4" t="n">
        <v>673.97</v>
      </c>
      <c r="E11188" s="5" t="n">
        <v>30</v>
      </c>
      <c r="F11188" s="3" t="inlineStr">
        <is>
          <t>연서면</t>
        </is>
      </c>
      <c r="G11188" s="3" t="inlineStr">
        <is>
          <t>기룡리</t>
        </is>
      </c>
      <c r="H11188" s="3" t="inlineStr">
        <is>
          <t>생산관리지역</t>
        </is>
      </c>
      <c r="I11188" s="3" t="inlineStr">
        <is>
          <t>전</t>
        </is>
      </c>
      <c r="J11188" s="3" t="inlineStr">
        <is>
          <t>연서면</t>
        </is>
      </c>
    </row>
    <row r="11189">
      <c r="A11189" s="3" t="n">
        <v>2023</v>
      </c>
      <c r="B11189" s="4" t="n">
        <v>78500</v>
      </c>
      <c r="C11189" s="4" t="n">
        <v>352</v>
      </c>
      <c r="D11189" s="4" t="n">
        <v>106.48</v>
      </c>
      <c r="E11189" s="5" t="n">
        <v>737.2</v>
      </c>
      <c r="F11189" s="3" t="inlineStr">
        <is>
          <t>집현동</t>
        </is>
      </c>
      <c r="G11189" s="3" t="inlineStr"/>
      <c r="H11189" s="3" t="inlineStr">
        <is>
          <t>용도미지정</t>
        </is>
      </c>
      <c r="I11189" s="3" t="inlineStr">
        <is>
          <t>대</t>
        </is>
      </c>
      <c r="J11189" s="3" t="inlineStr">
        <is>
          <t>집현동</t>
        </is>
      </c>
    </row>
    <row r="11190">
      <c r="A11190" s="3" t="n">
        <v>2023</v>
      </c>
      <c r="B11190" s="4" t="n">
        <v>3200</v>
      </c>
      <c r="C11190" s="4" t="n">
        <v>66</v>
      </c>
      <c r="D11190" s="4" t="n">
        <v>19.965</v>
      </c>
      <c r="E11190" s="5" t="n">
        <v>160.3</v>
      </c>
      <c r="F11190" s="3" t="inlineStr">
        <is>
          <t>연서면</t>
        </is>
      </c>
      <c r="G11190" s="3" t="inlineStr">
        <is>
          <t>봉암리</t>
        </is>
      </c>
      <c r="H11190" s="3" t="inlineStr">
        <is>
          <t>계획관리지역</t>
        </is>
      </c>
      <c r="I11190" s="3" t="inlineStr">
        <is>
          <t>대</t>
        </is>
      </c>
      <c r="J11190" s="3" t="inlineStr">
        <is>
          <t>연서면</t>
        </is>
      </c>
    </row>
    <row r="11191">
      <c r="A11191" s="3" t="n">
        <v>2023</v>
      </c>
      <c r="B11191" s="4" t="n">
        <v>4000</v>
      </c>
      <c r="C11191" s="4" t="n">
        <v>65</v>
      </c>
      <c r="D11191" s="4" t="n">
        <v>19.6625</v>
      </c>
      <c r="E11191" s="5" t="n">
        <v>203.4</v>
      </c>
      <c r="F11191" s="3" t="inlineStr">
        <is>
          <t>연서면</t>
        </is>
      </c>
      <c r="G11191" s="3" t="inlineStr">
        <is>
          <t>봉암리</t>
        </is>
      </c>
      <c r="H11191" s="3" t="inlineStr">
        <is>
          <t>계획관리지역</t>
        </is>
      </c>
      <c r="I11191" s="3" t="inlineStr">
        <is>
          <t>대</t>
        </is>
      </c>
      <c r="J11191" s="3" t="inlineStr">
        <is>
          <t>연서면</t>
        </is>
      </c>
    </row>
    <row r="11192">
      <c r="A11192" s="3" t="n">
        <v>2023</v>
      </c>
      <c r="B11192" s="4" t="n">
        <v>6300</v>
      </c>
      <c r="C11192" s="4" t="n">
        <v>234</v>
      </c>
      <c r="D11192" s="4" t="n">
        <v>70.785</v>
      </c>
      <c r="E11192" s="5" t="n">
        <v>89</v>
      </c>
      <c r="F11192" s="3" t="inlineStr">
        <is>
          <t>장군면</t>
        </is>
      </c>
      <c r="G11192" s="3" t="inlineStr">
        <is>
          <t>하봉리</t>
        </is>
      </c>
      <c r="H11192" s="3" t="inlineStr">
        <is>
          <t>계획관리지역</t>
        </is>
      </c>
      <c r="I11192" s="3" t="inlineStr">
        <is>
          <t>전</t>
        </is>
      </c>
      <c r="J11192" s="3" t="inlineStr">
        <is>
          <t>장군면</t>
        </is>
      </c>
    </row>
    <row r="11193">
      <c r="A11193" s="3" t="n">
        <v>2023</v>
      </c>
      <c r="B11193" s="4" t="n">
        <v>375</v>
      </c>
      <c r="C11193" s="4" t="n">
        <v>14</v>
      </c>
      <c r="D11193" s="4" t="n">
        <v>4.234999999999999</v>
      </c>
      <c r="E11193" s="5" t="n">
        <v>88.5</v>
      </c>
      <c r="F11193" s="3" t="inlineStr">
        <is>
          <t>장군면</t>
        </is>
      </c>
      <c r="G11193" s="3" t="inlineStr">
        <is>
          <t>하봉리</t>
        </is>
      </c>
      <c r="H11193" s="3" t="inlineStr">
        <is>
          <t>계획관리지역</t>
        </is>
      </c>
      <c r="I11193" s="3" t="inlineStr">
        <is>
          <t>전</t>
        </is>
      </c>
      <c r="J11193" s="3" t="inlineStr">
        <is>
          <t>장군면</t>
        </is>
      </c>
    </row>
    <row r="11194">
      <c r="A11194" s="3" t="n">
        <v>2023</v>
      </c>
      <c r="B11194" s="4" t="n">
        <v>275000</v>
      </c>
      <c r="C11194" s="4" t="n">
        <v>414</v>
      </c>
      <c r="D11194" s="4" t="n">
        <v>125.235</v>
      </c>
      <c r="E11194" s="5" t="n">
        <v>2195.9</v>
      </c>
      <c r="F11194" s="3" t="inlineStr">
        <is>
          <t>연서면</t>
        </is>
      </c>
      <c r="G11194" s="3" t="inlineStr">
        <is>
          <t>월하리</t>
        </is>
      </c>
      <c r="H11194" s="3" t="inlineStr">
        <is>
          <t>제2종일반주거지역</t>
        </is>
      </c>
      <c r="I11194" s="3" t="inlineStr">
        <is>
          <t>과수원</t>
        </is>
      </c>
      <c r="J11194" s="3" t="inlineStr">
        <is>
          <t>연서면</t>
        </is>
      </c>
    </row>
    <row r="11195">
      <c r="A11195" s="3" t="n">
        <v>2023</v>
      </c>
      <c r="B11195" s="4" t="n">
        <v>23000</v>
      </c>
      <c r="C11195" s="4" t="n">
        <v>2026</v>
      </c>
      <c r="D11195" s="4" t="n">
        <v>612.865</v>
      </c>
      <c r="E11195" s="5" t="n">
        <v>37.5</v>
      </c>
      <c r="F11195" s="3" t="inlineStr">
        <is>
          <t>전의면</t>
        </is>
      </c>
      <c r="G11195" s="3" t="inlineStr">
        <is>
          <t>서정리</t>
        </is>
      </c>
      <c r="H11195" s="3" t="inlineStr">
        <is>
          <t>농림지역</t>
        </is>
      </c>
      <c r="I11195" s="3" t="inlineStr">
        <is>
          <t>전</t>
        </is>
      </c>
      <c r="J11195" s="3" t="inlineStr">
        <is>
          <t>전의면</t>
        </is>
      </c>
    </row>
    <row r="11196">
      <c r="A11196" s="3" t="n">
        <v>2023</v>
      </c>
      <c r="B11196" s="4" t="n">
        <v>12874</v>
      </c>
      <c r="C11196" s="4" t="n">
        <v>532</v>
      </c>
      <c r="D11196" s="4" t="n">
        <v>160.93</v>
      </c>
      <c r="E11196" s="5" t="n">
        <v>80</v>
      </c>
      <c r="F11196" s="3" t="inlineStr">
        <is>
          <t>소정면</t>
        </is>
      </c>
      <c r="G11196" s="3" t="inlineStr">
        <is>
          <t>대곡리</t>
        </is>
      </c>
      <c r="H11196" s="3" t="inlineStr">
        <is>
          <t>농림지역</t>
        </is>
      </c>
      <c r="I11196" s="3" t="inlineStr">
        <is>
          <t>대</t>
        </is>
      </c>
      <c r="J11196" s="3" t="inlineStr">
        <is>
          <t>소정면</t>
        </is>
      </c>
    </row>
    <row r="11197">
      <c r="A11197" s="3" t="n">
        <v>2023</v>
      </c>
      <c r="B11197" s="4" t="n">
        <v>45000</v>
      </c>
      <c r="C11197" s="4" t="n">
        <v>417</v>
      </c>
      <c r="D11197" s="4" t="n">
        <v>126.1425</v>
      </c>
      <c r="E11197" s="5" t="n">
        <v>356.7</v>
      </c>
      <c r="F11197" s="3" t="inlineStr">
        <is>
          <t>장군면</t>
        </is>
      </c>
      <c r="G11197" s="3" t="inlineStr">
        <is>
          <t>금암리</t>
        </is>
      </c>
      <c r="H11197" s="3" t="inlineStr">
        <is>
          <t>계획관리지역</t>
        </is>
      </c>
      <c r="I11197" s="3" t="inlineStr">
        <is>
          <t>대</t>
        </is>
      </c>
      <c r="J11197" s="3" t="inlineStr">
        <is>
          <t>장군면</t>
        </is>
      </c>
    </row>
    <row r="11198">
      <c r="A11198" s="3" t="n">
        <v>2023</v>
      </c>
      <c r="B11198" s="4" t="n">
        <v>6350</v>
      </c>
      <c r="C11198" s="4" t="n">
        <v>76</v>
      </c>
      <c r="D11198" s="4" t="n">
        <v>22.99</v>
      </c>
      <c r="E11198" s="5" t="n">
        <v>276.2</v>
      </c>
      <c r="F11198" s="3" t="inlineStr">
        <is>
          <t>장군면</t>
        </is>
      </c>
      <c r="G11198" s="3" t="inlineStr">
        <is>
          <t>하봉리</t>
        </is>
      </c>
      <c r="H11198" s="3" t="inlineStr">
        <is>
          <t>계획관리지역</t>
        </is>
      </c>
      <c r="I11198" s="3" t="inlineStr">
        <is>
          <t>임야</t>
        </is>
      </c>
      <c r="J11198" s="3" t="inlineStr">
        <is>
          <t>장군면</t>
        </is>
      </c>
    </row>
    <row r="11199">
      <c r="A11199" s="3" t="n">
        <v>2022</v>
      </c>
      <c r="B11199" s="4" t="n">
        <v>10390</v>
      </c>
      <c r="C11199" s="4" t="n">
        <v>1910</v>
      </c>
      <c r="D11199" s="4" t="n">
        <v>577.775</v>
      </c>
      <c r="E11199" s="5" t="n">
        <v>18</v>
      </c>
      <c r="F11199" s="3" t="inlineStr">
        <is>
          <t>유구읍</t>
        </is>
      </c>
      <c r="G11199" s="3" t="inlineStr">
        <is>
          <t>추계리</t>
        </is>
      </c>
      <c r="H11199" s="3" t="inlineStr">
        <is>
          <t>생산관리지역</t>
        </is>
      </c>
      <c r="I11199" s="3" t="inlineStr">
        <is>
          <t>답</t>
        </is>
      </c>
      <c r="J11199" s="3" t="inlineStr">
        <is>
          <t>유구읍</t>
        </is>
      </c>
    </row>
    <row r="11200">
      <c r="A11200" s="3" t="n">
        <v>2022</v>
      </c>
      <c r="B11200" s="4" t="n">
        <v>8410</v>
      </c>
      <c r="C11200" s="4" t="n">
        <v>1544.6</v>
      </c>
      <c r="D11200" s="4" t="n">
        <v>467.2415</v>
      </c>
      <c r="E11200" s="5" t="n">
        <v>18</v>
      </c>
      <c r="F11200" s="3" t="inlineStr">
        <is>
          <t>유구읍</t>
        </is>
      </c>
      <c r="G11200" s="3" t="inlineStr">
        <is>
          <t>추계리</t>
        </is>
      </c>
      <c r="H11200" s="3" t="inlineStr">
        <is>
          <t>생산관리지역</t>
        </is>
      </c>
      <c r="I11200" s="3" t="inlineStr">
        <is>
          <t>답</t>
        </is>
      </c>
      <c r="J11200" s="3" t="inlineStr">
        <is>
          <t>유구읍</t>
        </is>
      </c>
    </row>
    <row r="11201">
      <c r="A11201" s="3" t="n">
        <v>2022</v>
      </c>
      <c r="B11201" s="4" t="n">
        <v>486</v>
      </c>
      <c r="C11201" s="4" t="n">
        <v>179</v>
      </c>
      <c r="D11201" s="4" t="n">
        <v>54.1475</v>
      </c>
      <c r="E11201" s="5" t="n">
        <v>9</v>
      </c>
      <c r="F11201" s="3" t="inlineStr">
        <is>
          <t>유구읍</t>
        </is>
      </c>
      <c r="G11201" s="3" t="inlineStr">
        <is>
          <t>유구리</t>
        </is>
      </c>
      <c r="H11201" s="3" t="inlineStr">
        <is>
          <t>계획관리지역</t>
        </is>
      </c>
      <c r="I11201" s="3" t="inlineStr">
        <is>
          <t>전</t>
        </is>
      </c>
      <c r="J11201" s="3" t="inlineStr">
        <is>
          <t>유구읍</t>
        </is>
      </c>
    </row>
    <row r="11202">
      <c r="A11202" s="3" t="n">
        <v>2022</v>
      </c>
      <c r="B11202" s="4" t="n">
        <v>6669</v>
      </c>
      <c r="C11202" s="4" t="n">
        <v>2450</v>
      </c>
      <c r="D11202" s="4" t="n">
        <v>741.125</v>
      </c>
      <c r="E11202" s="5" t="n">
        <v>9</v>
      </c>
      <c r="F11202" s="3" t="inlineStr">
        <is>
          <t>유구읍</t>
        </is>
      </c>
      <c r="G11202" s="3" t="inlineStr">
        <is>
          <t>유구리</t>
        </is>
      </c>
      <c r="H11202" s="3" t="inlineStr">
        <is>
          <t>계획관리지역</t>
        </is>
      </c>
      <c r="I11202" s="3" t="inlineStr">
        <is>
          <t>전</t>
        </is>
      </c>
      <c r="J11202" s="3" t="inlineStr">
        <is>
          <t>유구읍</t>
        </is>
      </c>
    </row>
    <row r="11203">
      <c r="A11203" s="3" t="n">
        <v>2022</v>
      </c>
      <c r="B11203" s="4" t="n">
        <v>8837</v>
      </c>
      <c r="C11203" s="4" t="n">
        <v>110</v>
      </c>
      <c r="D11203" s="4" t="n">
        <v>33.275</v>
      </c>
      <c r="E11203" s="5" t="n">
        <v>265.6</v>
      </c>
      <c r="F11203" s="3" t="inlineStr">
        <is>
          <t>유구읍</t>
        </is>
      </c>
      <c r="G11203" s="3" t="inlineStr">
        <is>
          <t>석남리</t>
        </is>
      </c>
      <c r="H11203" s="3" t="inlineStr">
        <is>
          <t>준주거지역</t>
        </is>
      </c>
      <c r="I11203" s="3" t="inlineStr">
        <is>
          <t>답</t>
        </is>
      </c>
      <c r="J11203" s="3" t="inlineStr">
        <is>
          <t>유구읍</t>
        </is>
      </c>
    </row>
    <row r="11204">
      <c r="A11204" s="3" t="n">
        <v>2022</v>
      </c>
      <c r="B11204" s="4" t="n">
        <v>950</v>
      </c>
      <c r="C11204" s="4" t="n">
        <v>436</v>
      </c>
      <c r="D11204" s="4" t="n">
        <v>131.89</v>
      </c>
      <c r="E11204" s="5" t="n">
        <v>7.2</v>
      </c>
      <c r="F11204" s="3" t="inlineStr">
        <is>
          <t>유구읍</t>
        </is>
      </c>
      <c r="G11204" s="3" t="inlineStr">
        <is>
          <t>문금리</t>
        </is>
      </c>
      <c r="H11204" s="3" t="inlineStr">
        <is>
          <t>계획관리지역</t>
        </is>
      </c>
      <c r="I11204" s="3" t="inlineStr">
        <is>
          <t>전</t>
        </is>
      </c>
      <c r="J11204" s="3" t="inlineStr">
        <is>
          <t>유구읍</t>
        </is>
      </c>
    </row>
    <row r="11205">
      <c r="A11205" s="3" t="n">
        <v>2022</v>
      </c>
      <c r="B11205" s="4" t="n">
        <v>12560</v>
      </c>
      <c r="C11205" s="4" t="n">
        <v>2569</v>
      </c>
      <c r="D11205" s="4" t="n">
        <v>777.1224999999999</v>
      </c>
      <c r="E11205" s="5" t="n">
        <v>16.2</v>
      </c>
      <c r="F11205" s="3" t="inlineStr">
        <is>
          <t>유구읍</t>
        </is>
      </c>
      <c r="G11205" s="3" t="inlineStr">
        <is>
          <t>문금리</t>
        </is>
      </c>
      <c r="H11205" s="3" t="inlineStr">
        <is>
          <t>생산관리지역</t>
        </is>
      </c>
      <c r="I11205" s="3" t="inlineStr">
        <is>
          <t>전</t>
        </is>
      </c>
      <c r="J11205" s="3" t="inlineStr">
        <is>
          <t>유구읍</t>
        </is>
      </c>
    </row>
    <row r="11206">
      <c r="A11206" s="3" t="n">
        <v>2022</v>
      </c>
      <c r="B11206" s="4" t="n">
        <v>6610</v>
      </c>
      <c r="C11206" s="4" t="n">
        <v>1190</v>
      </c>
      <c r="D11206" s="4" t="n">
        <v>359.975</v>
      </c>
      <c r="E11206" s="5" t="n">
        <v>18.4</v>
      </c>
      <c r="F11206" s="3" t="inlineStr">
        <is>
          <t>유구읍</t>
        </is>
      </c>
      <c r="G11206" s="3" t="inlineStr">
        <is>
          <t>문금리</t>
        </is>
      </c>
      <c r="H11206" s="3" t="inlineStr">
        <is>
          <t>생산관리지역</t>
        </is>
      </c>
      <c r="I11206" s="3" t="inlineStr">
        <is>
          <t>답</t>
        </is>
      </c>
      <c r="J11206" s="3" t="inlineStr">
        <is>
          <t>유구읍</t>
        </is>
      </c>
    </row>
    <row r="11207">
      <c r="A11207" s="3" t="n">
        <v>2022</v>
      </c>
      <c r="B11207" s="4" t="n">
        <v>830</v>
      </c>
      <c r="C11207" s="4" t="n">
        <v>149</v>
      </c>
      <c r="D11207" s="4" t="n">
        <v>45.0725</v>
      </c>
      <c r="E11207" s="5" t="n">
        <v>18.4</v>
      </c>
      <c r="F11207" s="3" t="inlineStr">
        <is>
          <t>유구읍</t>
        </is>
      </c>
      <c r="G11207" s="3" t="inlineStr">
        <is>
          <t>문금리</t>
        </is>
      </c>
      <c r="H11207" s="3" t="inlineStr">
        <is>
          <t>생산관리지역</t>
        </is>
      </c>
      <c r="I11207" s="3" t="inlineStr">
        <is>
          <t>답</t>
        </is>
      </c>
      <c r="J11207" s="3" t="inlineStr">
        <is>
          <t>유구읍</t>
        </is>
      </c>
    </row>
    <row r="11208">
      <c r="A11208" s="3" t="n">
        <v>2022</v>
      </c>
      <c r="B11208" s="4" t="n">
        <v>150000</v>
      </c>
      <c r="C11208" s="4" t="n">
        <v>299107</v>
      </c>
      <c r="D11208" s="4" t="n">
        <v>90479.86749999999</v>
      </c>
      <c r="E11208" s="5" t="n">
        <v>1.7</v>
      </c>
      <c r="F11208" s="3" t="inlineStr">
        <is>
          <t>유구읍</t>
        </is>
      </c>
      <c r="G11208" s="3" t="inlineStr">
        <is>
          <t>신달리</t>
        </is>
      </c>
      <c r="H11208" s="3" t="inlineStr">
        <is>
          <t>농림지역</t>
        </is>
      </c>
      <c r="I11208" s="3" t="inlineStr">
        <is>
          <t>임야</t>
        </is>
      </c>
      <c r="J11208" s="3" t="inlineStr">
        <is>
          <t>유구읍</t>
        </is>
      </c>
    </row>
    <row r="11209">
      <c r="A11209" s="3" t="n">
        <v>2022</v>
      </c>
      <c r="B11209" s="4" t="n">
        <v>198831</v>
      </c>
      <c r="C11209" s="4" t="n">
        <v>13794</v>
      </c>
      <c r="D11209" s="4" t="n">
        <v>4172.684999999999</v>
      </c>
      <c r="E11209" s="5" t="n">
        <v>47.7</v>
      </c>
      <c r="F11209" s="3" t="inlineStr">
        <is>
          <t>장군면</t>
        </is>
      </c>
      <c r="G11209" s="3" t="inlineStr">
        <is>
          <t>평기리</t>
        </is>
      </c>
      <c r="H11209" s="3" t="inlineStr">
        <is>
          <t>보전관리지역</t>
        </is>
      </c>
      <c r="I11209" s="3" t="inlineStr">
        <is>
          <t>임야</t>
        </is>
      </c>
      <c r="J11209" s="3" t="inlineStr">
        <is>
          <t>장군면</t>
        </is>
      </c>
    </row>
    <row r="11210">
      <c r="A11210" s="3" t="n">
        <v>2022</v>
      </c>
      <c r="B11210" s="4" t="n">
        <v>190648</v>
      </c>
      <c r="C11210" s="4" t="n">
        <v>13209</v>
      </c>
      <c r="D11210" s="4" t="n">
        <v>3995.7225</v>
      </c>
      <c r="E11210" s="5" t="n">
        <v>47.7</v>
      </c>
      <c r="F11210" s="3" t="inlineStr">
        <is>
          <t>장군면</t>
        </is>
      </c>
      <c r="G11210" s="3" t="inlineStr">
        <is>
          <t>평기리</t>
        </is>
      </c>
      <c r="H11210" s="3" t="inlineStr">
        <is>
          <t>보전관리지역</t>
        </is>
      </c>
      <c r="I11210" s="3" t="inlineStr">
        <is>
          <t>임야</t>
        </is>
      </c>
      <c r="J11210" s="3" t="inlineStr">
        <is>
          <t>장군면</t>
        </is>
      </c>
    </row>
    <row r="11211">
      <c r="A11211" s="3" t="n">
        <v>2022</v>
      </c>
      <c r="B11211" s="4" t="n">
        <v>14565</v>
      </c>
      <c r="C11211" s="4" t="n">
        <v>605</v>
      </c>
      <c r="D11211" s="4" t="n">
        <v>183.0125</v>
      </c>
      <c r="E11211" s="5" t="n">
        <v>79.59999999999999</v>
      </c>
      <c r="F11211" s="3" t="inlineStr">
        <is>
          <t>장군면</t>
        </is>
      </c>
      <c r="G11211" s="3" t="inlineStr">
        <is>
          <t>평기리</t>
        </is>
      </c>
      <c r="H11211" s="3" t="inlineStr">
        <is>
          <t>보전관리지역</t>
        </is>
      </c>
      <c r="I11211" s="3" t="inlineStr">
        <is>
          <t>전</t>
        </is>
      </c>
      <c r="J11211" s="3" t="inlineStr">
        <is>
          <t>장군면</t>
        </is>
      </c>
    </row>
    <row r="11212">
      <c r="A11212" s="3" t="n">
        <v>2022</v>
      </c>
      <c r="B11212" s="4" t="n">
        <v>14806</v>
      </c>
      <c r="C11212" s="4" t="n">
        <v>615</v>
      </c>
      <c r="D11212" s="4" t="n">
        <v>186.0375</v>
      </c>
      <c r="E11212" s="5" t="n">
        <v>79.59999999999999</v>
      </c>
      <c r="F11212" s="3" t="inlineStr">
        <is>
          <t>장군면</t>
        </is>
      </c>
      <c r="G11212" s="3" t="inlineStr">
        <is>
          <t>평기리</t>
        </is>
      </c>
      <c r="H11212" s="3" t="inlineStr">
        <is>
          <t>보전관리지역</t>
        </is>
      </c>
      <c r="I11212" s="3" t="inlineStr">
        <is>
          <t>목장용지</t>
        </is>
      </c>
      <c r="J11212" s="3" t="inlineStr">
        <is>
          <t>장군면</t>
        </is>
      </c>
    </row>
    <row r="11213">
      <c r="A11213" s="3" t="n">
        <v>2022</v>
      </c>
      <c r="B11213" s="4" t="n">
        <v>11460</v>
      </c>
      <c r="C11213" s="4" t="n">
        <v>476</v>
      </c>
      <c r="D11213" s="4" t="n">
        <v>143.99</v>
      </c>
      <c r="E11213" s="5" t="n">
        <v>79.59999999999999</v>
      </c>
      <c r="F11213" s="3" t="inlineStr">
        <is>
          <t>장군면</t>
        </is>
      </c>
      <c r="G11213" s="3" t="inlineStr">
        <is>
          <t>평기리</t>
        </is>
      </c>
      <c r="H11213" s="3" t="inlineStr">
        <is>
          <t>보전관리지역</t>
        </is>
      </c>
      <c r="I11213" s="3" t="inlineStr">
        <is>
          <t>목장용지</t>
        </is>
      </c>
      <c r="J11213" s="3" t="inlineStr">
        <is>
          <t>장군면</t>
        </is>
      </c>
    </row>
    <row r="11214">
      <c r="A11214" s="3" t="n">
        <v>2022</v>
      </c>
      <c r="B11214" s="4" t="n">
        <v>102631</v>
      </c>
      <c r="C11214" s="4" t="n">
        <v>4263</v>
      </c>
      <c r="D11214" s="4" t="n">
        <v>1289.5575</v>
      </c>
      <c r="E11214" s="5" t="n">
        <v>79.59999999999999</v>
      </c>
      <c r="F11214" s="3" t="inlineStr">
        <is>
          <t>장군면</t>
        </is>
      </c>
      <c r="G11214" s="3" t="inlineStr">
        <is>
          <t>평기리</t>
        </is>
      </c>
      <c r="H11214" s="3" t="inlineStr">
        <is>
          <t>보전관리지역</t>
        </is>
      </c>
      <c r="I11214" s="3" t="inlineStr">
        <is>
          <t>목장용지</t>
        </is>
      </c>
      <c r="J11214" s="3" t="inlineStr">
        <is>
          <t>장군면</t>
        </is>
      </c>
    </row>
    <row r="11215">
      <c r="A11215" s="3" t="n">
        <v>2022</v>
      </c>
      <c r="B11215" s="4" t="n">
        <v>6958</v>
      </c>
      <c r="C11215" s="4" t="n">
        <v>289</v>
      </c>
      <c r="D11215" s="4" t="n">
        <v>87.4225</v>
      </c>
      <c r="E11215" s="5" t="n">
        <v>79.59999999999999</v>
      </c>
      <c r="F11215" s="3" t="inlineStr">
        <is>
          <t>장군면</t>
        </is>
      </c>
      <c r="G11215" s="3" t="inlineStr">
        <is>
          <t>평기리</t>
        </is>
      </c>
      <c r="H11215" s="3" t="inlineStr">
        <is>
          <t>보전관리지역</t>
        </is>
      </c>
      <c r="I11215" s="3" t="inlineStr">
        <is>
          <t>목장용지</t>
        </is>
      </c>
      <c r="J11215" s="3" t="inlineStr">
        <is>
          <t>장군면</t>
        </is>
      </c>
    </row>
    <row r="11216">
      <c r="A11216" s="3" t="n">
        <v>2022</v>
      </c>
      <c r="B11216" s="4" t="n">
        <v>1276</v>
      </c>
      <c r="C11216" s="4" t="n">
        <v>53</v>
      </c>
      <c r="D11216" s="4" t="n">
        <v>16.0325</v>
      </c>
      <c r="E11216" s="5" t="n">
        <v>79.59999999999999</v>
      </c>
      <c r="F11216" s="3" t="inlineStr">
        <is>
          <t>장군면</t>
        </is>
      </c>
      <c r="G11216" s="3" t="inlineStr">
        <is>
          <t>평기리</t>
        </is>
      </c>
      <c r="H11216" s="3" t="inlineStr">
        <is>
          <t>보전관리지역</t>
        </is>
      </c>
      <c r="I11216" s="3" t="inlineStr">
        <is>
          <t>목장용지</t>
        </is>
      </c>
      <c r="J11216" s="3" t="inlineStr">
        <is>
          <t>장군면</t>
        </is>
      </c>
    </row>
    <row r="11217">
      <c r="A11217" s="3" t="n">
        <v>2022</v>
      </c>
      <c r="B11217" s="4" t="n">
        <v>12904</v>
      </c>
      <c r="C11217" s="4" t="n">
        <v>536</v>
      </c>
      <c r="D11217" s="4" t="n">
        <v>162.14</v>
      </c>
      <c r="E11217" s="5" t="n">
        <v>79.59999999999999</v>
      </c>
      <c r="F11217" s="3" t="inlineStr">
        <is>
          <t>장군면</t>
        </is>
      </c>
      <c r="G11217" s="3" t="inlineStr">
        <is>
          <t>평기리</t>
        </is>
      </c>
      <c r="H11217" s="3" t="inlineStr">
        <is>
          <t>보전관리지역</t>
        </is>
      </c>
      <c r="I11217" s="3" t="inlineStr">
        <is>
          <t>답</t>
        </is>
      </c>
      <c r="J11217" s="3" t="inlineStr">
        <is>
          <t>장군면</t>
        </is>
      </c>
    </row>
    <row r="11218">
      <c r="A11218" s="3" t="n">
        <v>2022</v>
      </c>
      <c r="B11218" s="4" t="n">
        <v>27000</v>
      </c>
      <c r="C11218" s="4" t="n">
        <v>1411</v>
      </c>
      <c r="D11218" s="4" t="n">
        <v>426.8275</v>
      </c>
      <c r="E11218" s="5" t="n">
        <v>63.3</v>
      </c>
      <c r="F11218" s="3" t="inlineStr">
        <is>
          <t>금남면</t>
        </is>
      </c>
      <c r="G11218" s="3" t="inlineStr">
        <is>
          <t>원봉리</t>
        </is>
      </c>
      <c r="H11218" s="3" t="inlineStr">
        <is>
          <t>계획관리지역</t>
        </is>
      </c>
      <c r="I11218" s="3" t="inlineStr">
        <is>
          <t>답</t>
        </is>
      </c>
      <c r="J11218" s="3" t="inlineStr">
        <is>
          <t>금남면</t>
        </is>
      </c>
    </row>
    <row r="11219">
      <c r="A11219" s="3" t="n">
        <v>2022</v>
      </c>
      <c r="B11219" s="4" t="n">
        <v>47000</v>
      </c>
      <c r="C11219" s="4" t="n">
        <v>1653</v>
      </c>
      <c r="D11219" s="4" t="n">
        <v>500.0325</v>
      </c>
      <c r="E11219" s="5" t="n">
        <v>94</v>
      </c>
      <c r="F11219" s="3" t="inlineStr">
        <is>
          <t>금남면</t>
        </is>
      </c>
      <c r="G11219" s="3" t="inlineStr">
        <is>
          <t>원봉리</t>
        </is>
      </c>
      <c r="H11219" s="3" t="inlineStr">
        <is>
          <t>계획관리지역</t>
        </is>
      </c>
      <c r="I11219" s="3" t="inlineStr">
        <is>
          <t>답</t>
        </is>
      </c>
      <c r="J11219" s="3" t="inlineStr">
        <is>
          <t>금남면</t>
        </is>
      </c>
    </row>
    <row r="11220">
      <c r="A11220" s="3" t="n">
        <v>2023</v>
      </c>
      <c r="B11220" s="4" t="n">
        <v>4650</v>
      </c>
      <c r="C11220" s="4" t="n">
        <v>56</v>
      </c>
      <c r="D11220" s="4" t="n">
        <v>16.94</v>
      </c>
      <c r="E11220" s="5" t="n">
        <v>274.5</v>
      </c>
      <c r="F11220" s="3" t="inlineStr">
        <is>
          <t>장군면</t>
        </is>
      </c>
      <c r="G11220" s="3" t="inlineStr">
        <is>
          <t>하봉리</t>
        </is>
      </c>
      <c r="H11220" s="3" t="inlineStr">
        <is>
          <t>계획관리지역</t>
        </is>
      </c>
      <c r="I11220" s="3" t="inlineStr">
        <is>
          <t>임야</t>
        </is>
      </c>
      <c r="J11220" s="3" t="inlineStr">
        <is>
          <t>장군면</t>
        </is>
      </c>
    </row>
    <row r="11221">
      <c r="A11221" s="3" t="n">
        <v>2025</v>
      </c>
      <c r="B11221" s="4" t="n">
        <v>55000</v>
      </c>
      <c r="C11221" s="4" t="n">
        <v>2180</v>
      </c>
      <c r="D11221" s="4" t="n">
        <v>659.4499999999999</v>
      </c>
      <c r="E11221" s="5" t="n">
        <v>83.40000000000001</v>
      </c>
      <c r="F11221" s="3" t="inlineStr">
        <is>
          <t>연서면</t>
        </is>
      </c>
      <c r="G11221" s="3" t="inlineStr">
        <is>
          <t>성제리</t>
        </is>
      </c>
      <c r="H11221" s="3" t="inlineStr">
        <is>
          <t>농림지역</t>
        </is>
      </c>
      <c r="I11221" s="3" t="inlineStr">
        <is>
          <t>답</t>
        </is>
      </c>
      <c r="J11221" s="3" t="inlineStr">
        <is>
          <t>연서면</t>
        </is>
      </c>
    </row>
    <row r="11222">
      <c r="A11222" s="3" t="n">
        <v>2024</v>
      </c>
      <c r="B11222" s="4" t="n">
        <v>12100</v>
      </c>
      <c r="C11222" s="4" t="n">
        <v>113</v>
      </c>
      <c r="D11222" s="4" t="n">
        <v>34.1825</v>
      </c>
      <c r="E11222" s="5" t="n">
        <v>354</v>
      </c>
      <c r="F11222" s="3" t="inlineStr">
        <is>
          <t>조치원읍</t>
        </is>
      </c>
      <c r="G11222" s="3" t="inlineStr">
        <is>
          <t>번암리</t>
        </is>
      </c>
      <c r="H11222" s="3" t="inlineStr">
        <is>
          <t>제2종일반주거지역</t>
        </is>
      </c>
      <c r="I11222" s="3" t="inlineStr">
        <is>
          <t>전</t>
        </is>
      </c>
      <c r="J11222" s="3" t="inlineStr">
        <is>
          <t>조치원읍</t>
        </is>
      </c>
    </row>
    <row r="11223">
      <c r="A11223" s="3" t="n">
        <v>2024</v>
      </c>
      <c r="B11223" s="4" t="n">
        <v>60000</v>
      </c>
      <c r="C11223" s="4" t="n">
        <v>32826</v>
      </c>
      <c r="D11223" s="4" t="n">
        <v>9929.865</v>
      </c>
      <c r="E11223" s="5" t="n">
        <v>6</v>
      </c>
      <c r="F11223" s="3" t="inlineStr">
        <is>
          <t>연서면</t>
        </is>
      </c>
      <c r="G11223" s="3" t="inlineStr">
        <is>
          <t>기룡리</t>
        </is>
      </c>
      <c r="H11223" s="3" t="inlineStr">
        <is>
          <t>보전관리지역</t>
        </is>
      </c>
      <c r="I11223" s="3" t="inlineStr">
        <is>
          <t>임야</t>
        </is>
      </c>
      <c r="J11223" s="3" t="inlineStr">
        <is>
          <t>연서면</t>
        </is>
      </c>
    </row>
    <row r="11224">
      <c r="A11224" s="3" t="n">
        <v>2024</v>
      </c>
      <c r="B11224" s="4" t="n">
        <v>52000</v>
      </c>
      <c r="C11224" s="4" t="n">
        <v>2149</v>
      </c>
      <c r="D11224" s="4" t="n">
        <v>650.0725</v>
      </c>
      <c r="E11224" s="5" t="n">
        <v>80</v>
      </c>
      <c r="F11224" s="3" t="inlineStr">
        <is>
          <t>연서면</t>
        </is>
      </c>
      <c r="G11224" s="3" t="inlineStr">
        <is>
          <t>국촌리</t>
        </is>
      </c>
      <c r="H11224" s="3" t="inlineStr">
        <is>
          <t>계획관리지역</t>
        </is>
      </c>
      <c r="I11224" s="3" t="inlineStr">
        <is>
          <t>전</t>
        </is>
      </c>
      <c r="J11224" s="3" t="inlineStr">
        <is>
          <t>연서면</t>
        </is>
      </c>
    </row>
    <row r="11225">
      <c r="A11225" s="3" t="n">
        <v>2024</v>
      </c>
      <c r="B11225" s="4" t="n">
        <v>40000</v>
      </c>
      <c r="C11225" s="4" t="n">
        <v>2513.7</v>
      </c>
      <c r="D11225" s="4" t="n">
        <v>760.3942499999999</v>
      </c>
      <c r="E11225" s="5" t="n">
        <v>52.6</v>
      </c>
      <c r="F11225" s="3" t="inlineStr">
        <is>
          <t>장군면</t>
        </is>
      </c>
      <c r="G11225" s="3" t="inlineStr">
        <is>
          <t>송문리</t>
        </is>
      </c>
      <c r="H11225" s="3" t="inlineStr">
        <is>
          <t>농림지역</t>
        </is>
      </c>
      <c r="I11225" s="3" t="inlineStr">
        <is>
          <t>답</t>
        </is>
      </c>
      <c r="J11225" s="3" t="inlineStr">
        <is>
          <t>장군면</t>
        </is>
      </c>
    </row>
    <row r="11226">
      <c r="A11226" s="3" t="n">
        <v>2024</v>
      </c>
      <c r="B11226" s="4" t="n">
        <v>9800</v>
      </c>
      <c r="C11226" s="4" t="n">
        <v>463</v>
      </c>
      <c r="D11226" s="4" t="n">
        <v>140.0575</v>
      </c>
      <c r="E11226" s="5" t="n">
        <v>70</v>
      </c>
      <c r="F11226" s="3" t="inlineStr">
        <is>
          <t>금남면</t>
        </is>
      </c>
      <c r="G11226" s="3" t="inlineStr">
        <is>
          <t>국곡리</t>
        </is>
      </c>
      <c r="H11226" s="3" t="inlineStr">
        <is>
          <t>보전관리지역</t>
        </is>
      </c>
      <c r="I11226" s="3" t="inlineStr">
        <is>
          <t>전</t>
        </is>
      </c>
      <c r="J11226" s="3" t="inlineStr">
        <is>
          <t>금남면</t>
        </is>
      </c>
    </row>
    <row r="11227">
      <c r="A11227" s="3" t="n">
        <v>2024</v>
      </c>
      <c r="B11227" s="4" t="n">
        <v>6800</v>
      </c>
      <c r="C11227" s="4" t="n">
        <v>799</v>
      </c>
      <c r="D11227" s="4" t="n">
        <v>241.6975</v>
      </c>
      <c r="E11227" s="5" t="n">
        <v>28.1</v>
      </c>
      <c r="F11227" s="3" t="inlineStr">
        <is>
          <t>연서면</t>
        </is>
      </c>
      <c r="G11227" s="3" t="inlineStr">
        <is>
          <t>청라리</t>
        </is>
      </c>
      <c r="H11227" s="3" t="inlineStr">
        <is>
          <t>생산관리지역</t>
        </is>
      </c>
      <c r="I11227" s="3" t="inlineStr">
        <is>
          <t>답</t>
        </is>
      </c>
      <c r="J11227" s="3" t="inlineStr">
        <is>
          <t>연서면</t>
        </is>
      </c>
    </row>
    <row r="11228">
      <c r="A11228" s="3" t="n">
        <v>2024</v>
      </c>
      <c r="B11228" s="4" t="n">
        <v>3200</v>
      </c>
      <c r="C11228" s="4" t="n">
        <v>372</v>
      </c>
      <c r="D11228" s="4" t="n">
        <v>112.53</v>
      </c>
      <c r="E11228" s="5" t="n">
        <v>28.4</v>
      </c>
      <c r="F11228" s="3" t="inlineStr">
        <is>
          <t>연서면</t>
        </is>
      </c>
      <c r="G11228" s="3" t="inlineStr">
        <is>
          <t>청라리</t>
        </is>
      </c>
      <c r="H11228" s="3" t="inlineStr">
        <is>
          <t>생산관리지역</t>
        </is>
      </c>
      <c r="I11228" s="3" t="inlineStr">
        <is>
          <t>답</t>
        </is>
      </c>
      <c r="J11228" s="3" t="inlineStr">
        <is>
          <t>연서면</t>
        </is>
      </c>
    </row>
    <row r="11229">
      <c r="A11229" s="3" t="n">
        <v>2024</v>
      </c>
      <c r="B11229" s="4" t="n">
        <v>3542</v>
      </c>
      <c r="C11229" s="4" t="n">
        <v>1064</v>
      </c>
      <c r="D11229" s="4" t="n">
        <v>321.86</v>
      </c>
      <c r="E11229" s="5" t="n">
        <v>11</v>
      </c>
      <c r="F11229" s="3" t="inlineStr">
        <is>
          <t>전의면</t>
        </is>
      </c>
      <c r="G11229" s="3" t="inlineStr">
        <is>
          <t>관정리</t>
        </is>
      </c>
      <c r="H11229" s="3" t="inlineStr">
        <is>
          <t>계획관리지역</t>
        </is>
      </c>
      <c r="I11229" s="3" t="inlineStr">
        <is>
          <t>임야</t>
        </is>
      </c>
      <c r="J11229" s="3" t="inlineStr">
        <is>
          <t>전의면</t>
        </is>
      </c>
    </row>
    <row r="11230">
      <c r="A11230" s="3" t="n">
        <v>2024</v>
      </c>
      <c r="B11230" s="4" t="n">
        <v>870000</v>
      </c>
      <c r="C11230" s="4" t="n">
        <v>250810</v>
      </c>
      <c r="D11230" s="4" t="n">
        <v>75870.02499999999</v>
      </c>
      <c r="E11230" s="5" t="n">
        <v>11.5</v>
      </c>
      <c r="F11230" s="3" t="inlineStr">
        <is>
          <t>장군면</t>
        </is>
      </c>
      <c r="G11230" s="3" t="inlineStr">
        <is>
          <t>은용리</t>
        </is>
      </c>
      <c r="H11230" s="3" t="inlineStr">
        <is>
          <t>보전관리지역</t>
        </is>
      </c>
      <c r="I11230" s="3" t="inlineStr">
        <is>
          <t>임야</t>
        </is>
      </c>
      <c r="J11230" s="3" t="inlineStr">
        <is>
          <t>장군면</t>
        </is>
      </c>
    </row>
    <row r="11231">
      <c r="A11231" s="3" t="n">
        <v>2024</v>
      </c>
      <c r="B11231" s="4" t="n">
        <v>1330000</v>
      </c>
      <c r="C11231" s="4" t="n">
        <v>383207</v>
      </c>
      <c r="D11231" s="4" t="n">
        <v>115920.1175</v>
      </c>
      <c r="E11231" s="5" t="n">
        <v>11.5</v>
      </c>
      <c r="F11231" s="3" t="inlineStr">
        <is>
          <t>장군면</t>
        </is>
      </c>
      <c r="G11231" s="3" t="inlineStr">
        <is>
          <t>은용리</t>
        </is>
      </c>
      <c r="H11231" s="3" t="inlineStr">
        <is>
          <t>생산관리지역</t>
        </is>
      </c>
      <c r="I11231" s="3" t="inlineStr">
        <is>
          <t>임야</t>
        </is>
      </c>
      <c r="J11231" s="3" t="inlineStr">
        <is>
          <t>장군면</t>
        </is>
      </c>
    </row>
    <row r="11232">
      <c r="A11232" s="3" t="n">
        <v>2024</v>
      </c>
      <c r="B11232" s="4" t="n">
        <v>440000</v>
      </c>
      <c r="C11232" s="4" t="n">
        <v>125554</v>
      </c>
      <c r="D11232" s="4" t="n">
        <v>37980.085</v>
      </c>
      <c r="E11232" s="5" t="n">
        <v>11.6</v>
      </c>
      <c r="F11232" s="3" t="inlineStr">
        <is>
          <t>장군면</t>
        </is>
      </c>
      <c r="G11232" s="3" t="inlineStr">
        <is>
          <t>은용리</t>
        </is>
      </c>
      <c r="H11232" s="3" t="inlineStr">
        <is>
          <t>보전관리지역</t>
        </is>
      </c>
      <c r="I11232" s="3" t="inlineStr">
        <is>
          <t>임야</t>
        </is>
      </c>
      <c r="J11232" s="3" t="inlineStr">
        <is>
          <t>장군면</t>
        </is>
      </c>
    </row>
    <row r="11233">
      <c r="A11233" s="3" t="n">
        <v>2024</v>
      </c>
      <c r="B11233" s="4" t="n">
        <v>67929</v>
      </c>
      <c r="C11233" s="4" t="n">
        <v>1238</v>
      </c>
      <c r="D11233" s="4" t="n">
        <v>374.495</v>
      </c>
      <c r="E11233" s="5" t="n">
        <v>181.4</v>
      </c>
      <c r="F11233" s="3" t="inlineStr">
        <is>
          <t>금남면</t>
        </is>
      </c>
      <c r="G11233" s="3" t="inlineStr">
        <is>
          <t>영곡리</t>
        </is>
      </c>
      <c r="H11233" s="3" t="inlineStr">
        <is>
          <t>보전관리지역</t>
        </is>
      </c>
      <c r="I11233" s="3" t="inlineStr">
        <is>
          <t>임야</t>
        </is>
      </c>
      <c r="J11233" s="3" t="inlineStr">
        <is>
          <t>금남면</t>
        </is>
      </c>
    </row>
    <row r="11234">
      <c r="A11234" s="3" t="n">
        <v>2024</v>
      </c>
      <c r="B11234" s="4" t="n">
        <v>14760</v>
      </c>
      <c r="C11234" s="4" t="n">
        <v>1220</v>
      </c>
      <c r="D11234" s="4" t="n">
        <v>369.05</v>
      </c>
      <c r="E11234" s="5" t="n">
        <v>40</v>
      </c>
      <c r="F11234" s="3" t="inlineStr">
        <is>
          <t>전의면</t>
        </is>
      </c>
      <c r="G11234" s="3" t="inlineStr">
        <is>
          <t>다방리</t>
        </is>
      </c>
      <c r="H11234" s="3" t="inlineStr">
        <is>
          <t>생산관리지역</t>
        </is>
      </c>
      <c r="I11234" s="3" t="inlineStr">
        <is>
          <t>답</t>
        </is>
      </c>
      <c r="J11234" s="3" t="inlineStr">
        <is>
          <t>전의면</t>
        </is>
      </c>
    </row>
    <row r="11235">
      <c r="A11235" s="3" t="n">
        <v>2024</v>
      </c>
      <c r="B11235" s="4" t="n">
        <v>800</v>
      </c>
      <c r="C11235" s="4" t="n">
        <v>131</v>
      </c>
      <c r="D11235" s="4" t="n">
        <v>39.6275</v>
      </c>
      <c r="E11235" s="5" t="n">
        <v>20.2</v>
      </c>
      <c r="F11235" s="3" t="inlineStr">
        <is>
          <t>전의면</t>
        </is>
      </c>
      <c r="G11235" s="3" t="inlineStr">
        <is>
          <t>다방리</t>
        </is>
      </c>
      <c r="H11235" s="3" t="inlineStr">
        <is>
          <t>농림지역</t>
        </is>
      </c>
      <c r="I11235" s="3" t="inlineStr">
        <is>
          <t>답</t>
        </is>
      </c>
      <c r="J11235" s="3" t="inlineStr">
        <is>
          <t>전의면</t>
        </is>
      </c>
    </row>
    <row r="11236">
      <c r="A11236" s="3" t="n">
        <v>2024</v>
      </c>
      <c r="B11236" s="4" t="n">
        <v>1800</v>
      </c>
      <c r="C11236" s="4" t="n">
        <v>56</v>
      </c>
      <c r="D11236" s="4" t="n">
        <v>16.94</v>
      </c>
      <c r="E11236" s="5" t="n">
        <v>106.3</v>
      </c>
      <c r="F11236" s="3" t="inlineStr">
        <is>
          <t>장군면</t>
        </is>
      </c>
      <c r="G11236" s="3" t="inlineStr">
        <is>
          <t>대교리</t>
        </is>
      </c>
      <c r="H11236" s="3" t="inlineStr">
        <is>
          <t>계획관리지역</t>
        </is>
      </c>
      <c r="I11236" s="3" t="inlineStr">
        <is>
          <t>대</t>
        </is>
      </c>
      <c r="J11236" s="3" t="inlineStr">
        <is>
          <t>장군면</t>
        </is>
      </c>
    </row>
    <row r="11237">
      <c r="A11237" s="3" t="n">
        <v>2024</v>
      </c>
      <c r="B11237" s="4" t="n">
        <v>8000</v>
      </c>
      <c r="C11237" s="4" t="n">
        <v>165</v>
      </c>
      <c r="D11237" s="4" t="n">
        <v>49.9125</v>
      </c>
      <c r="E11237" s="5" t="n">
        <v>160.3</v>
      </c>
      <c r="F11237" s="3" t="inlineStr">
        <is>
          <t>장군면</t>
        </is>
      </c>
      <c r="G11237" s="3" t="inlineStr">
        <is>
          <t>금암리</t>
        </is>
      </c>
      <c r="H11237" s="3" t="inlineStr">
        <is>
          <t>계획관리지역</t>
        </is>
      </c>
      <c r="I11237" s="3" t="inlineStr">
        <is>
          <t>답</t>
        </is>
      </c>
      <c r="J11237" s="3" t="inlineStr">
        <is>
          <t>장군면</t>
        </is>
      </c>
    </row>
    <row r="11238">
      <c r="A11238" s="3" t="n">
        <v>2024</v>
      </c>
      <c r="B11238" s="4" t="n">
        <v>22450</v>
      </c>
      <c r="C11238" s="4" t="n">
        <v>190.6</v>
      </c>
      <c r="D11238" s="4" t="n">
        <v>57.65649999999999</v>
      </c>
      <c r="E11238" s="5" t="n">
        <v>389.4</v>
      </c>
      <c r="F11238" s="3" t="inlineStr">
        <is>
          <t>조치원읍</t>
        </is>
      </c>
      <c r="G11238" s="3" t="inlineStr">
        <is>
          <t>남리</t>
        </is>
      </c>
      <c r="H11238" s="3" t="inlineStr">
        <is>
          <t>제2종일반주거지역</t>
        </is>
      </c>
      <c r="I11238" s="3" t="inlineStr">
        <is>
          <t>대</t>
        </is>
      </c>
      <c r="J11238" s="3" t="inlineStr">
        <is>
          <t>조치원읍</t>
        </is>
      </c>
    </row>
    <row r="11239">
      <c r="A11239" s="3" t="n">
        <v>2022</v>
      </c>
      <c r="B11239" s="4" t="n">
        <v>9050</v>
      </c>
      <c r="C11239" s="4" t="n">
        <v>358</v>
      </c>
      <c r="D11239" s="4" t="n">
        <v>108.295</v>
      </c>
      <c r="E11239" s="5" t="n">
        <v>83.59999999999999</v>
      </c>
      <c r="F11239" s="3" t="inlineStr">
        <is>
          <t>장군면</t>
        </is>
      </c>
      <c r="G11239" s="3" t="inlineStr">
        <is>
          <t>송문리</t>
        </is>
      </c>
      <c r="H11239" s="3" t="inlineStr">
        <is>
          <t>보전관리지역</t>
        </is>
      </c>
      <c r="I11239" s="3" t="inlineStr">
        <is>
          <t>임야</t>
        </is>
      </c>
      <c r="J11239" s="3" t="inlineStr">
        <is>
          <t>장군면</t>
        </is>
      </c>
    </row>
    <row r="11240">
      <c r="A11240" s="3" t="n">
        <v>2022</v>
      </c>
      <c r="B11240" s="4" t="n">
        <v>32650</v>
      </c>
      <c r="C11240" s="4" t="n">
        <v>516</v>
      </c>
      <c r="D11240" s="4" t="n">
        <v>156.09</v>
      </c>
      <c r="E11240" s="5" t="n">
        <v>209.2</v>
      </c>
      <c r="F11240" s="3" t="inlineStr">
        <is>
          <t>연기면</t>
        </is>
      </c>
      <c r="G11240" s="3" t="inlineStr">
        <is>
          <t>수산리</t>
        </is>
      </c>
      <c r="H11240" s="3" t="inlineStr">
        <is>
          <t>계획관리지역</t>
        </is>
      </c>
      <c r="I11240" s="3" t="inlineStr">
        <is>
          <t>대</t>
        </is>
      </c>
      <c r="J11240" s="3" t="inlineStr">
        <is>
          <t>연기면</t>
        </is>
      </c>
    </row>
    <row r="11241">
      <c r="A11241" s="3" t="n">
        <v>2022</v>
      </c>
      <c r="B11241" s="4" t="n">
        <v>12000</v>
      </c>
      <c r="C11241" s="4" t="n">
        <v>1167</v>
      </c>
      <c r="D11241" s="4" t="n">
        <v>353.0175</v>
      </c>
      <c r="E11241" s="5" t="n">
        <v>34</v>
      </c>
      <c r="F11241" s="3" t="inlineStr">
        <is>
          <t>전동면</t>
        </is>
      </c>
      <c r="G11241" s="3" t="inlineStr">
        <is>
          <t>송성리</t>
        </is>
      </c>
      <c r="H11241" s="3" t="inlineStr">
        <is>
          <t>보전관리지역</t>
        </is>
      </c>
      <c r="I11241" s="3" t="inlineStr">
        <is>
          <t>전</t>
        </is>
      </c>
      <c r="J11241" s="3" t="inlineStr">
        <is>
          <t>전동면</t>
        </is>
      </c>
    </row>
    <row r="11242">
      <c r="A11242" s="3" t="n">
        <v>2022</v>
      </c>
      <c r="B11242" s="4" t="n">
        <v>18082</v>
      </c>
      <c r="C11242" s="4" t="n">
        <v>500</v>
      </c>
      <c r="D11242" s="4" t="n">
        <v>151.25</v>
      </c>
      <c r="E11242" s="5" t="n">
        <v>119.6</v>
      </c>
      <c r="F11242" s="3" t="inlineStr">
        <is>
          <t>장군면</t>
        </is>
      </c>
      <c r="G11242" s="3" t="inlineStr">
        <is>
          <t>송문리</t>
        </is>
      </c>
      <c r="H11242" s="3" t="inlineStr">
        <is>
          <t>보전관리지역</t>
        </is>
      </c>
      <c r="I11242" s="3" t="inlineStr">
        <is>
          <t>임야</t>
        </is>
      </c>
      <c r="J11242" s="3" t="inlineStr">
        <is>
          <t>장군면</t>
        </is>
      </c>
    </row>
    <row r="11243">
      <c r="A11243" s="3" t="n">
        <v>2022</v>
      </c>
      <c r="B11243" s="4" t="n">
        <v>9273</v>
      </c>
      <c r="C11243" s="4" t="n">
        <v>395</v>
      </c>
      <c r="D11243" s="4" t="n">
        <v>119.4875</v>
      </c>
      <c r="E11243" s="5" t="n">
        <v>77.59999999999999</v>
      </c>
      <c r="F11243" s="3" t="inlineStr">
        <is>
          <t>장군면</t>
        </is>
      </c>
      <c r="G11243" s="3" t="inlineStr">
        <is>
          <t>송문리</t>
        </is>
      </c>
      <c r="H11243" s="3" t="inlineStr">
        <is>
          <t>보전관리지역</t>
        </is>
      </c>
      <c r="I11243" s="3" t="inlineStr">
        <is>
          <t>임야</t>
        </is>
      </c>
      <c r="J11243" s="3" t="inlineStr">
        <is>
          <t>장군면</t>
        </is>
      </c>
    </row>
    <row r="11244">
      <c r="A11244" s="3" t="n">
        <v>2022</v>
      </c>
      <c r="B11244" s="4" t="n">
        <v>28000</v>
      </c>
      <c r="C11244" s="4" t="n">
        <v>13525</v>
      </c>
      <c r="D11244" s="4" t="n">
        <v>4091.3125</v>
      </c>
      <c r="E11244" s="5" t="n">
        <v>6.8</v>
      </c>
      <c r="F11244" s="3" t="inlineStr">
        <is>
          <t>소정면</t>
        </is>
      </c>
      <c r="G11244" s="3" t="inlineStr">
        <is>
          <t>대곡리</t>
        </is>
      </c>
      <c r="H11244" s="3" t="inlineStr">
        <is>
          <t>농림지역</t>
        </is>
      </c>
      <c r="I11244" s="3" t="inlineStr">
        <is>
          <t>임야</t>
        </is>
      </c>
      <c r="J11244" s="3" t="inlineStr">
        <is>
          <t>소정면</t>
        </is>
      </c>
    </row>
    <row r="11245">
      <c r="A11245" s="3" t="n">
        <v>2022</v>
      </c>
      <c r="B11245" s="4" t="n">
        <v>62000</v>
      </c>
      <c r="C11245" s="4" t="n">
        <v>1451</v>
      </c>
      <c r="D11245" s="4" t="n">
        <v>438.9275</v>
      </c>
      <c r="E11245" s="5" t="n">
        <v>141.3</v>
      </c>
      <c r="F11245" s="3" t="inlineStr">
        <is>
          <t>연동면</t>
        </is>
      </c>
      <c r="G11245" s="3" t="inlineStr">
        <is>
          <t>송용리</t>
        </is>
      </c>
      <c r="H11245" s="3" t="inlineStr">
        <is>
          <t>계획관리지역</t>
        </is>
      </c>
      <c r="I11245" s="3" t="inlineStr">
        <is>
          <t>전</t>
        </is>
      </c>
      <c r="J11245" s="3" t="inlineStr">
        <is>
          <t>연동면</t>
        </is>
      </c>
    </row>
    <row r="11246">
      <c r="A11246" s="3" t="n">
        <v>2023</v>
      </c>
      <c r="B11246" s="4" t="n">
        <v>19040</v>
      </c>
      <c r="C11246" s="4" t="n">
        <v>742</v>
      </c>
      <c r="D11246" s="4" t="n">
        <v>224.455</v>
      </c>
      <c r="E11246" s="5" t="n">
        <v>84.8</v>
      </c>
      <c r="F11246" s="3" t="inlineStr">
        <is>
          <t>금남면</t>
        </is>
      </c>
      <c r="G11246" s="3" t="inlineStr">
        <is>
          <t>부용리</t>
        </is>
      </c>
      <c r="H11246" s="3" t="inlineStr">
        <is>
          <t>개발제한구역</t>
        </is>
      </c>
      <c r="I11246" s="3" t="inlineStr">
        <is>
          <t>전</t>
        </is>
      </c>
      <c r="J11246" s="3" t="inlineStr">
        <is>
          <t>금남면</t>
        </is>
      </c>
    </row>
    <row r="11247">
      <c r="A11247" s="3" t="n">
        <v>2023</v>
      </c>
      <c r="B11247" s="4" t="n">
        <v>17170</v>
      </c>
      <c r="C11247" s="4" t="n">
        <v>668</v>
      </c>
      <c r="D11247" s="4" t="n">
        <v>202.07</v>
      </c>
      <c r="E11247" s="5" t="n">
        <v>85</v>
      </c>
      <c r="F11247" s="3" t="inlineStr">
        <is>
          <t>금남면</t>
        </is>
      </c>
      <c r="G11247" s="3" t="inlineStr">
        <is>
          <t>부용리</t>
        </is>
      </c>
      <c r="H11247" s="3" t="inlineStr">
        <is>
          <t>개발제한구역</t>
        </is>
      </c>
      <c r="I11247" s="3" t="inlineStr">
        <is>
          <t>답</t>
        </is>
      </c>
      <c r="J11247" s="3" t="inlineStr">
        <is>
          <t>금남면</t>
        </is>
      </c>
    </row>
    <row r="11248">
      <c r="A11248" s="3" t="n">
        <v>2023</v>
      </c>
      <c r="B11248" s="4" t="n">
        <v>23970</v>
      </c>
      <c r="C11248" s="4" t="n">
        <v>931</v>
      </c>
      <c r="D11248" s="4" t="n">
        <v>281.6275</v>
      </c>
      <c r="E11248" s="5" t="n">
        <v>85.09999999999999</v>
      </c>
      <c r="F11248" s="3" t="inlineStr">
        <is>
          <t>금남면</t>
        </is>
      </c>
      <c r="G11248" s="3" t="inlineStr">
        <is>
          <t>부용리</t>
        </is>
      </c>
      <c r="H11248" s="3" t="inlineStr">
        <is>
          <t>개발제한구역</t>
        </is>
      </c>
      <c r="I11248" s="3" t="inlineStr">
        <is>
          <t>답</t>
        </is>
      </c>
      <c r="J11248" s="3" t="inlineStr">
        <is>
          <t>금남면</t>
        </is>
      </c>
    </row>
    <row r="11249">
      <c r="A11249" s="3" t="n">
        <v>2023</v>
      </c>
      <c r="B11249" s="4" t="n">
        <v>58300</v>
      </c>
      <c r="C11249" s="4" t="n">
        <v>6486</v>
      </c>
      <c r="D11249" s="4" t="n">
        <v>1962.015</v>
      </c>
      <c r="E11249" s="5" t="n">
        <v>29.7</v>
      </c>
      <c r="F11249" s="3" t="inlineStr">
        <is>
          <t>전동면</t>
        </is>
      </c>
      <c r="G11249" s="3" t="inlineStr">
        <is>
          <t>청송리</t>
        </is>
      </c>
      <c r="H11249" s="3" t="inlineStr">
        <is>
          <t>생산관리지역</t>
        </is>
      </c>
      <c r="I11249" s="3" t="inlineStr">
        <is>
          <t>전</t>
        </is>
      </c>
      <c r="J11249" s="3" t="inlineStr">
        <is>
          <t>전동면</t>
        </is>
      </c>
    </row>
    <row r="11250">
      <c r="A11250" s="3" t="n">
        <v>2023</v>
      </c>
      <c r="B11250" s="4" t="n">
        <v>41600</v>
      </c>
      <c r="C11250" s="4" t="n">
        <v>3203</v>
      </c>
      <c r="D11250" s="4" t="n">
        <v>968.9075</v>
      </c>
      <c r="E11250" s="5" t="n">
        <v>42.9</v>
      </c>
      <c r="F11250" s="3" t="inlineStr">
        <is>
          <t>전동면</t>
        </is>
      </c>
      <c r="G11250" s="3" t="inlineStr">
        <is>
          <t>청송리</t>
        </is>
      </c>
      <c r="H11250" s="3" t="inlineStr">
        <is>
          <t>생산관리지역</t>
        </is>
      </c>
      <c r="I11250" s="3" t="inlineStr">
        <is>
          <t>전</t>
        </is>
      </c>
      <c r="J11250" s="3" t="inlineStr">
        <is>
          <t>전동면</t>
        </is>
      </c>
    </row>
    <row r="11251">
      <c r="A11251" s="3" t="n">
        <v>2023</v>
      </c>
      <c r="B11251" s="4" t="n">
        <v>39500</v>
      </c>
      <c r="C11251" s="4" t="n">
        <v>446</v>
      </c>
      <c r="D11251" s="4" t="n">
        <v>134.915</v>
      </c>
      <c r="E11251" s="5" t="n">
        <v>292.8</v>
      </c>
      <c r="F11251" s="3" t="inlineStr">
        <is>
          <t>장군면</t>
        </is>
      </c>
      <c r="G11251" s="3" t="inlineStr">
        <is>
          <t>대교리</t>
        </is>
      </c>
      <c r="H11251" s="3" t="inlineStr">
        <is>
          <t>생산관리지역</t>
        </is>
      </c>
      <c r="I11251" s="3" t="inlineStr">
        <is>
          <t>답</t>
        </is>
      </c>
      <c r="J11251" s="3" t="inlineStr">
        <is>
          <t>장군면</t>
        </is>
      </c>
    </row>
    <row r="11252">
      <c r="A11252" s="3" t="n">
        <v>2023</v>
      </c>
      <c r="B11252" s="4" t="n">
        <v>15500</v>
      </c>
      <c r="C11252" s="4" t="n">
        <v>176</v>
      </c>
      <c r="D11252" s="4" t="n">
        <v>53.23999999999999</v>
      </c>
      <c r="E11252" s="5" t="n">
        <v>291.1</v>
      </c>
      <c r="F11252" s="3" t="inlineStr">
        <is>
          <t>장군면</t>
        </is>
      </c>
      <c r="G11252" s="3" t="inlineStr">
        <is>
          <t>대교리</t>
        </is>
      </c>
      <c r="H11252" s="3" t="inlineStr">
        <is>
          <t>생산관리지역</t>
        </is>
      </c>
      <c r="I11252" s="3" t="inlineStr">
        <is>
          <t>답</t>
        </is>
      </c>
      <c r="J11252" s="3" t="inlineStr">
        <is>
          <t>장군면</t>
        </is>
      </c>
    </row>
    <row r="11253">
      <c r="A11253" s="3" t="n">
        <v>2023</v>
      </c>
      <c r="B11253" s="4" t="n">
        <v>47250</v>
      </c>
      <c r="C11253" s="4" t="n">
        <v>445</v>
      </c>
      <c r="D11253" s="4" t="n">
        <v>134.6125</v>
      </c>
      <c r="E11253" s="5" t="n">
        <v>351</v>
      </c>
      <c r="F11253" s="3" t="inlineStr">
        <is>
          <t>조치원읍</t>
        </is>
      </c>
      <c r="G11253" s="3" t="inlineStr">
        <is>
          <t>죽림리</t>
        </is>
      </c>
      <c r="H11253" s="3" t="inlineStr">
        <is>
          <t>제2종일반주거지역</t>
        </is>
      </c>
      <c r="I11253" s="3" t="inlineStr">
        <is>
          <t>과수원</t>
        </is>
      </c>
      <c r="J11253" s="3" t="inlineStr">
        <is>
          <t>조치원읍</t>
        </is>
      </c>
    </row>
    <row r="11254">
      <c r="A11254" s="3" t="n">
        <v>2023</v>
      </c>
      <c r="B11254" s="4" t="n">
        <v>18707</v>
      </c>
      <c r="C11254" s="4" t="n">
        <v>186</v>
      </c>
      <c r="D11254" s="4" t="n">
        <v>56.265</v>
      </c>
      <c r="E11254" s="5" t="n">
        <v>332.5</v>
      </c>
      <c r="F11254" s="3" t="inlineStr">
        <is>
          <t>장군면</t>
        </is>
      </c>
      <c r="G11254" s="3" t="inlineStr">
        <is>
          <t>대교리</t>
        </is>
      </c>
      <c r="H11254" s="3" t="inlineStr">
        <is>
          <t>계획관리지역</t>
        </is>
      </c>
      <c r="I11254" s="3" t="inlineStr">
        <is>
          <t>목장용지</t>
        </is>
      </c>
      <c r="J11254" s="3" t="inlineStr">
        <is>
          <t>장군면</t>
        </is>
      </c>
    </row>
    <row r="11255">
      <c r="A11255" s="3" t="n">
        <v>2023</v>
      </c>
      <c r="B11255" s="4" t="n">
        <v>21524</v>
      </c>
      <c r="C11255" s="4" t="n">
        <v>214</v>
      </c>
      <c r="D11255" s="4" t="n">
        <v>64.735</v>
      </c>
      <c r="E11255" s="5" t="n">
        <v>332.5</v>
      </c>
      <c r="F11255" s="3" t="inlineStr">
        <is>
          <t>장군면</t>
        </is>
      </c>
      <c r="G11255" s="3" t="inlineStr">
        <is>
          <t>대교리</t>
        </is>
      </c>
      <c r="H11255" s="3" t="inlineStr">
        <is>
          <t>계획관리지역</t>
        </is>
      </c>
      <c r="I11255" s="3" t="inlineStr">
        <is>
          <t>답</t>
        </is>
      </c>
      <c r="J11255" s="3" t="inlineStr">
        <is>
          <t>장군면</t>
        </is>
      </c>
    </row>
    <row r="11256">
      <c r="A11256" s="3" t="n">
        <v>2023</v>
      </c>
      <c r="B11256" s="4" t="n">
        <v>2414</v>
      </c>
      <c r="C11256" s="4" t="n">
        <v>24</v>
      </c>
      <c r="D11256" s="4" t="n">
        <v>7.26</v>
      </c>
      <c r="E11256" s="5" t="n">
        <v>332.5</v>
      </c>
      <c r="F11256" s="3" t="inlineStr">
        <is>
          <t>장군면</t>
        </is>
      </c>
      <c r="G11256" s="3" t="inlineStr">
        <is>
          <t>대교리</t>
        </is>
      </c>
      <c r="H11256" s="3" t="inlineStr">
        <is>
          <t>계획관리지역</t>
        </is>
      </c>
      <c r="I11256" s="3" t="inlineStr">
        <is>
          <t>목장용지</t>
        </is>
      </c>
      <c r="J11256" s="3" t="inlineStr">
        <is>
          <t>장군면</t>
        </is>
      </c>
    </row>
    <row r="11257">
      <c r="A11257" s="3" t="n">
        <v>2023</v>
      </c>
      <c r="B11257" s="4" t="n">
        <v>4627</v>
      </c>
      <c r="C11257" s="4" t="n">
        <v>46</v>
      </c>
      <c r="D11257" s="4" t="n">
        <v>13.915</v>
      </c>
      <c r="E11257" s="5" t="n">
        <v>332.5</v>
      </c>
      <c r="F11257" s="3" t="inlineStr">
        <is>
          <t>장군면</t>
        </is>
      </c>
      <c r="G11257" s="3" t="inlineStr">
        <is>
          <t>대교리</t>
        </is>
      </c>
      <c r="H11257" s="3" t="inlineStr">
        <is>
          <t>계획관리지역</t>
        </is>
      </c>
      <c r="I11257" s="3" t="inlineStr">
        <is>
          <t>목장용지</t>
        </is>
      </c>
      <c r="J11257" s="3" t="inlineStr">
        <is>
          <t>장군면</t>
        </is>
      </c>
    </row>
    <row r="11258">
      <c r="A11258" s="3" t="n">
        <v>2023</v>
      </c>
      <c r="B11258" s="4" t="n">
        <v>4425</v>
      </c>
      <c r="C11258" s="4" t="n">
        <v>44</v>
      </c>
      <c r="D11258" s="4" t="n">
        <v>13.31</v>
      </c>
      <c r="E11258" s="5" t="n">
        <v>332.5</v>
      </c>
      <c r="F11258" s="3" t="inlineStr">
        <is>
          <t>장군면</t>
        </is>
      </c>
      <c r="G11258" s="3" t="inlineStr">
        <is>
          <t>대교리</t>
        </is>
      </c>
      <c r="H11258" s="3" t="inlineStr">
        <is>
          <t>계획관리지역</t>
        </is>
      </c>
      <c r="I11258" s="3" t="inlineStr">
        <is>
          <t>답</t>
        </is>
      </c>
      <c r="J11258" s="3" t="inlineStr">
        <is>
          <t>장군면</t>
        </is>
      </c>
    </row>
    <row r="11259">
      <c r="A11259" s="3" t="n">
        <v>2023</v>
      </c>
      <c r="B11259" s="4" t="n">
        <v>603</v>
      </c>
      <c r="C11259" s="4" t="n">
        <v>6</v>
      </c>
      <c r="D11259" s="4" t="n">
        <v>1.815</v>
      </c>
      <c r="E11259" s="5" t="n">
        <v>332.2</v>
      </c>
      <c r="F11259" s="3" t="inlineStr">
        <is>
          <t>장군면</t>
        </is>
      </c>
      <c r="G11259" s="3" t="inlineStr">
        <is>
          <t>대교리</t>
        </is>
      </c>
      <c r="H11259" s="3" t="inlineStr">
        <is>
          <t>계획관리지역</t>
        </is>
      </c>
      <c r="I11259" s="3" t="inlineStr">
        <is>
          <t>답</t>
        </is>
      </c>
      <c r="J11259" s="3" t="inlineStr">
        <is>
          <t>장군면</t>
        </is>
      </c>
    </row>
    <row r="11260">
      <c r="A11260" s="3" t="n">
        <v>2023</v>
      </c>
      <c r="B11260" s="4" t="n">
        <v>30589</v>
      </c>
      <c r="C11260" s="4" t="n">
        <v>482</v>
      </c>
      <c r="D11260" s="4" t="n">
        <v>145.805</v>
      </c>
      <c r="E11260" s="5" t="n">
        <v>209.8</v>
      </c>
      <c r="F11260" s="3" t="inlineStr">
        <is>
          <t>연기면</t>
        </is>
      </c>
      <c r="G11260" s="3" t="inlineStr">
        <is>
          <t>수산리</t>
        </is>
      </c>
      <c r="H11260" s="3" t="inlineStr">
        <is>
          <t>보전관리지역</t>
        </is>
      </c>
      <c r="I11260" s="3" t="inlineStr">
        <is>
          <t>대</t>
        </is>
      </c>
      <c r="J11260" s="3" t="inlineStr">
        <is>
          <t>연기면</t>
        </is>
      </c>
    </row>
    <row r="11261">
      <c r="A11261" s="3" t="n">
        <v>2023</v>
      </c>
      <c r="B11261" s="4" t="n">
        <v>340</v>
      </c>
      <c r="C11261" s="4" t="n">
        <v>22</v>
      </c>
      <c r="D11261" s="4" t="n">
        <v>6.654999999999999</v>
      </c>
      <c r="E11261" s="5" t="n">
        <v>51.1</v>
      </c>
      <c r="F11261" s="3" t="inlineStr">
        <is>
          <t>금남면</t>
        </is>
      </c>
      <c r="G11261" s="3" t="inlineStr">
        <is>
          <t>호탄리</t>
        </is>
      </c>
      <c r="H11261" s="3" t="inlineStr">
        <is>
          <t>제1종일반주거지역</t>
        </is>
      </c>
      <c r="I11261" s="3" t="inlineStr">
        <is>
          <t>임야</t>
        </is>
      </c>
      <c r="J11261" s="3" t="inlineStr">
        <is>
          <t>금남면</t>
        </is>
      </c>
    </row>
    <row r="11262">
      <c r="A11262" s="3" t="n">
        <v>2023</v>
      </c>
      <c r="B11262" s="4" t="n">
        <v>54600</v>
      </c>
      <c r="C11262" s="4" t="n">
        <v>1805</v>
      </c>
      <c r="D11262" s="4" t="n">
        <v>546.0124999999999</v>
      </c>
      <c r="E11262" s="5" t="n">
        <v>100</v>
      </c>
      <c r="F11262" s="3" t="inlineStr">
        <is>
          <t>장군면</t>
        </is>
      </c>
      <c r="G11262" s="3" t="inlineStr">
        <is>
          <t>금암리</t>
        </is>
      </c>
      <c r="H11262" s="3" t="inlineStr">
        <is>
          <t>농림지역</t>
        </is>
      </c>
      <c r="I11262" s="3" t="inlineStr">
        <is>
          <t>임야</t>
        </is>
      </c>
      <c r="J11262" s="3" t="inlineStr">
        <is>
          <t>장군면</t>
        </is>
      </c>
    </row>
    <row r="11263">
      <c r="A11263" s="3" t="n">
        <v>2023</v>
      </c>
      <c r="B11263" s="4" t="n">
        <v>24800</v>
      </c>
      <c r="C11263" s="4" t="n">
        <v>2053</v>
      </c>
      <c r="D11263" s="4" t="n">
        <v>621.0325</v>
      </c>
      <c r="E11263" s="5" t="n">
        <v>39.9</v>
      </c>
      <c r="F11263" s="3" t="inlineStr">
        <is>
          <t>연동면</t>
        </is>
      </c>
      <c r="G11263" s="3" t="inlineStr">
        <is>
          <t>노송리</t>
        </is>
      </c>
      <c r="H11263" s="3" t="inlineStr">
        <is>
          <t>계획관리지역</t>
        </is>
      </c>
      <c r="I11263" s="3" t="inlineStr">
        <is>
          <t>전</t>
        </is>
      </c>
      <c r="J11263" s="3" t="inlineStr">
        <is>
          <t>연동면</t>
        </is>
      </c>
    </row>
    <row r="11264">
      <c r="A11264" s="3" t="n">
        <v>2023</v>
      </c>
      <c r="B11264" s="4" t="n">
        <v>1700</v>
      </c>
      <c r="C11264" s="4" t="n">
        <v>188</v>
      </c>
      <c r="D11264" s="4" t="n">
        <v>56.87</v>
      </c>
      <c r="E11264" s="5" t="n">
        <v>29.9</v>
      </c>
      <c r="F11264" s="3" t="inlineStr">
        <is>
          <t>연동면</t>
        </is>
      </c>
      <c r="G11264" s="3" t="inlineStr">
        <is>
          <t>노송리</t>
        </is>
      </c>
      <c r="H11264" s="3" t="inlineStr">
        <is>
          <t>계획관리지역</t>
        </is>
      </c>
      <c r="I11264" s="3" t="inlineStr">
        <is>
          <t>전</t>
        </is>
      </c>
      <c r="J11264" s="3" t="inlineStr">
        <is>
          <t>연동면</t>
        </is>
      </c>
    </row>
    <row r="11265">
      <c r="A11265" s="3" t="n">
        <v>2023</v>
      </c>
      <c r="B11265" s="4" t="n">
        <v>8000</v>
      </c>
      <c r="C11265" s="4" t="n">
        <v>522</v>
      </c>
      <c r="D11265" s="4" t="n">
        <v>157.905</v>
      </c>
      <c r="E11265" s="5" t="n">
        <v>50.7</v>
      </c>
      <c r="F11265" s="3" t="inlineStr">
        <is>
          <t>금남면</t>
        </is>
      </c>
      <c r="G11265" s="3" t="inlineStr">
        <is>
          <t>달전리</t>
        </is>
      </c>
      <c r="H11265" s="3" t="inlineStr">
        <is>
          <t>개발제한구역</t>
        </is>
      </c>
      <c r="I11265" s="3" t="inlineStr">
        <is>
          <t>임야</t>
        </is>
      </c>
      <c r="J11265" s="3" t="inlineStr">
        <is>
          <t>금남면</t>
        </is>
      </c>
    </row>
    <row r="11266">
      <c r="A11266" s="3" t="n">
        <v>2023</v>
      </c>
      <c r="B11266" s="4" t="n">
        <v>32300</v>
      </c>
      <c r="C11266" s="4" t="n">
        <v>1597</v>
      </c>
      <c r="D11266" s="4" t="n">
        <v>483.0925</v>
      </c>
      <c r="E11266" s="5" t="n">
        <v>66.90000000000001</v>
      </c>
      <c r="F11266" s="3" t="inlineStr">
        <is>
          <t>금남면</t>
        </is>
      </c>
      <c r="G11266" s="3" t="inlineStr">
        <is>
          <t>용담리</t>
        </is>
      </c>
      <c r="H11266" s="3" t="inlineStr">
        <is>
          <t>개발제한구역</t>
        </is>
      </c>
      <c r="I11266" s="3" t="inlineStr">
        <is>
          <t>답</t>
        </is>
      </c>
      <c r="J11266" s="3" t="inlineStr">
        <is>
          <t>금남면</t>
        </is>
      </c>
    </row>
    <row r="11267">
      <c r="A11267" s="3" t="n">
        <v>2023</v>
      </c>
      <c r="B11267" s="4" t="n">
        <v>2837</v>
      </c>
      <c r="C11267" s="4" t="n">
        <v>67</v>
      </c>
      <c r="D11267" s="4" t="n">
        <v>20.2675</v>
      </c>
      <c r="E11267" s="5" t="n">
        <v>140</v>
      </c>
      <c r="F11267" s="3" t="inlineStr">
        <is>
          <t>연동면</t>
        </is>
      </c>
      <c r="G11267" s="3" t="inlineStr">
        <is>
          <t>명학리</t>
        </is>
      </c>
      <c r="H11267" s="3" t="inlineStr">
        <is>
          <t>계획관리지역</t>
        </is>
      </c>
      <c r="I11267" s="3" t="inlineStr">
        <is>
          <t>전</t>
        </is>
      </c>
      <c r="J11267" s="3" t="inlineStr">
        <is>
          <t>연동면</t>
        </is>
      </c>
    </row>
    <row r="11268">
      <c r="A11268" s="3" t="n">
        <v>2023</v>
      </c>
      <c r="B11268" s="4" t="n">
        <v>1200</v>
      </c>
      <c r="C11268" s="4" t="n">
        <v>37</v>
      </c>
      <c r="D11268" s="4" t="n">
        <v>11.1925</v>
      </c>
      <c r="E11268" s="5" t="n">
        <v>107.2</v>
      </c>
      <c r="F11268" s="3" t="inlineStr">
        <is>
          <t>장군면</t>
        </is>
      </c>
      <c r="G11268" s="3" t="inlineStr">
        <is>
          <t>하봉리</t>
        </is>
      </c>
      <c r="H11268" s="3" t="inlineStr">
        <is>
          <t>계획관리지역</t>
        </is>
      </c>
      <c r="I11268" s="3" t="inlineStr">
        <is>
          <t>대</t>
        </is>
      </c>
      <c r="J11268" s="3" t="inlineStr">
        <is>
          <t>장군면</t>
        </is>
      </c>
    </row>
    <row r="11269">
      <c r="A11269" s="3" t="n">
        <v>2023</v>
      </c>
      <c r="B11269" s="4" t="n">
        <v>37006</v>
      </c>
      <c r="C11269" s="4" t="n">
        <v>1958</v>
      </c>
      <c r="D11269" s="4" t="n">
        <v>592.295</v>
      </c>
      <c r="E11269" s="5" t="n">
        <v>62.5</v>
      </c>
      <c r="F11269" s="3" t="inlineStr">
        <is>
          <t>전동면</t>
        </is>
      </c>
      <c r="G11269" s="3" t="inlineStr">
        <is>
          <t>송성리</t>
        </is>
      </c>
      <c r="H11269" s="3" t="inlineStr">
        <is>
          <t>계획관리지역</t>
        </is>
      </c>
      <c r="I11269" s="3" t="inlineStr">
        <is>
          <t>답</t>
        </is>
      </c>
      <c r="J11269" s="3" t="inlineStr">
        <is>
          <t>전동면</t>
        </is>
      </c>
    </row>
    <row r="11270">
      <c r="A11270" s="3" t="n">
        <v>2023</v>
      </c>
      <c r="B11270" s="4" t="n">
        <v>16000</v>
      </c>
      <c r="C11270" s="4" t="n">
        <v>661</v>
      </c>
      <c r="D11270" s="4" t="n">
        <v>199.9525</v>
      </c>
      <c r="E11270" s="5" t="n">
        <v>80</v>
      </c>
      <c r="F11270" s="3" t="inlineStr">
        <is>
          <t>연서면</t>
        </is>
      </c>
      <c r="G11270" s="3" t="inlineStr">
        <is>
          <t>월하리</t>
        </is>
      </c>
      <c r="H11270" s="3" t="inlineStr">
        <is>
          <t>자연녹지지역</t>
        </is>
      </c>
      <c r="I11270" s="3" t="inlineStr">
        <is>
          <t>임야</t>
        </is>
      </c>
      <c r="J11270" s="3" t="inlineStr">
        <is>
          <t>연서면</t>
        </is>
      </c>
    </row>
    <row r="11271">
      <c r="A11271" s="3" t="n">
        <v>2023</v>
      </c>
      <c r="B11271" s="4" t="n">
        <v>22950</v>
      </c>
      <c r="C11271" s="4" t="n">
        <v>727</v>
      </c>
      <c r="D11271" s="4" t="n">
        <v>219.9175</v>
      </c>
      <c r="E11271" s="5" t="n">
        <v>104.4</v>
      </c>
      <c r="F11271" s="3" t="inlineStr">
        <is>
          <t>장군면</t>
        </is>
      </c>
      <c r="G11271" s="3" t="inlineStr">
        <is>
          <t>산학리</t>
        </is>
      </c>
      <c r="H11271" s="3" t="inlineStr">
        <is>
          <t>농림지역</t>
        </is>
      </c>
      <c r="I11271" s="3" t="inlineStr">
        <is>
          <t>임야</t>
        </is>
      </c>
      <c r="J11271" s="3" t="inlineStr">
        <is>
          <t>장군면</t>
        </is>
      </c>
    </row>
    <row r="11272">
      <c r="A11272" s="3" t="n">
        <v>2023</v>
      </c>
      <c r="B11272" s="4" t="n">
        <v>1766</v>
      </c>
      <c r="C11272" s="4" t="n">
        <v>64</v>
      </c>
      <c r="D11272" s="4" t="n">
        <v>19.36</v>
      </c>
      <c r="E11272" s="5" t="n">
        <v>91.2</v>
      </c>
      <c r="F11272" s="3" t="inlineStr">
        <is>
          <t>전동면</t>
        </is>
      </c>
      <c r="G11272" s="3" t="inlineStr">
        <is>
          <t>석곡리</t>
        </is>
      </c>
      <c r="H11272" s="3" t="inlineStr">
        <is>
          <t>보전관리지역</t>
        </is>
      </c>
      <c r="I11272" s="3" t="inlineStr">
        <is>
          <t>공장용지</t>
        </is>
      </c>
      <c r="J11272" s="3" t="inlineStr">
        <is>
          <t>전동면</t>
        </is>
      </c>
    </row>
    <row r="11273">
      <c r="A11273" s="3" t="n">
        <v>2023</v>
      </c>
      <c r="B11273" s="4" t="n">
        <v>7834</v>
      </c>
      <c r="C11273" s="4" t="n">
        <v>288</v>
      </c>
      <c r="D11273" s="4" t="n">
        <v>87.12</v>
      </c>
      <c r="E11273" s="5" t="n">
        <v>89.90000000000001</v>
      </c>
      <c r="F11273" s="3" t="inlineStr">
        <is>
          <t>전동면</t>
        </is>
      </c>
      <c r="G11273" s="3" t="inlineStr">
        <is>
          <t>석곡리</t>
        </is>
      </c>
      <c r="H11273" s="3" t="inlineStr">
        <is>
          <t>보전관리지역</t>
        </is>
      </c>
      <c r="I11273" s="3" t="inlineStr">
        <is>
          <t>공장용지</t>
        </is>
      </c>
      <c r="J11273" s="3" t="inlineStr">
        <is>
          <t>전동면</t>
        </is>
      </c>
    </row>
    <row r="11274">
      <c r="A11274" s="3" t="n">
        <v>2023</v>
      </c>
      <c r="B11274" s="4" t="n">
        <v>20000</v>
      </c>
      <c r="C11274" s="4" t="n">
        <v>523</v>
      </c>
      <c r="D11274" s="4" t="n">
        <v>158.2075</v>
      </c>
      <c r="E11274" s="5" t="n">
        <v>126.4</v>
      </c>
      <c r="F11274" s="3" t="inlineStr">
        <is>
          <t>전의면</t>
        </is>
      </c>
      <c r="G11274" s="3" t="inlineStr">
        <is>
          <t>관정리</t>
        </is>
      </c>
      <c r="H11274" s="3" t="inlineStr">
        <is>
          <t>계획관리지역</t>
        </is>
      </c>
      <c r="I11274" s="3" t="inlineStr">
        <is>
          <t>임야</t>
        </is>
      </c>
      <c r="J11274" s="3" t="inlineStr">
        <is>
          <t>전의면</t>
        </is>
      </c>
    </row>
    <row r="11275">
      <c r="A11275" s="3" t="n">
        <v>2022</v>
      </c>
      <c r="B11275" s="4" t="n">
        <v>13500</v>
      </c>
      <c r="C11275" s="4" t="n">
        <v>1703</v>
      </c>
      <c r="D11275" s="4" t="n">
        <v>515.1575</v>
      </c>
      <c r="E11275" s="5" t="n">
        <v>26.2</v>
      </c>
      <c r="F11275" s="3" t="inlineStr">
        <is>
          <t>현도면</t>
        </is>
      </c>
      <c r="G11275" s="3" t="inlineStr">
        <is>
          <t>중척리</t>
        </is>
      </c>
      <c r="H11275" s="3" t="inlineStr">
        <is>
          <t>개발제한구역</t>
        </is>
      </c>
      <c r="I11275" s="3" t="inlineStr">
        <is>
          <t>전</t>
        </is>
      </c>
      <c r="J11275" s="3" t="inlineStr">
        <is>
          <t>현도면</t>
        </is>
      </c>
    </row>
    <row r="11276">
      <c r="A11276" s="3" t="n">
        <v>2022</v>
      </c>
      <c r="B11276" s="4" t="n">
        <v>4000</v>
      </c>
      <c r="C11276" s="4" t="n">
        <v>468</v>
      </c>
      <c r="D11276" s="4" t="n">
        <v>141.57</v>
      </c>
      <c r="E11276" s="5" t="n">
        <v>28.3</v>
      </c>
      <c r="F11276" s="3" t="inlineStr">
        <is>
          <t>현도면</t>
        </is>
      </c>
      <c r="G11276" s="3" t="inlineStr">
        <is>
          <t>중척리</t>
        </is>
      </c>
      <c r="H11276" s="3" t="inlineStr">
        <is>
          <t>개발제한구역</t>
        </is>
      </c>
      <c r="I11276" s="3" t="inlineStr">
        <is>
          <t>전</t>
        </is>
      </c>
      <c r="J11276" s="3" t="inlineStr">
        <is>
          <t>현도면</t>
        </is>
      </c>
    </row>
    <row r="11277">
      <c r="A11277" s="3" t="n">
        <v>2022</v>
      </c>
      <c r="B11277" s="4" t="n">
        <v>500</v>
      </c>
      <c r="C11277" s="4" t="n">
        <v>61</v>
      </c>
      <c r="D11277" s="4" t="n">
        <v>18.4525</v>
      </c>
      <c r="E11277" s="5" t="n">
        <v>27.1</v>
      </c>
      <c r="F11277" s="3" t="inlineStr">
        <is>
          <t>현도면</t>
        </is>
      </c>
      <c r="G11277" s="3" t="inlineStr">
        <is>
          <t>중척리</t>
        </is>
      </c>
      <c r="H11277" s="3" t="inlineStr">
        <is>
          <t>개발제한구역</t>
        </is>
      </c>
      <c r="I11277" s="3" t="inlineStr">
        <is>
          <t>전</t>
        </is>
      </c>
      <c r="J11277" s="3" t="inlineStr">
        <is>
          <t>현도면</t>
        </is>
      </c>
    </row>
    <row r="11278">
      <c r="A11278" s="3" t="n">
        <v>2022</v>
      </c>
      <c r="B11278" s="4" t="n">
        <v>39000</v>
      </c>
      <c r="C11278" s="4" t="n">
        <v>1094</v>
      </c>
      <c r="D11278" s="4" t="n">
        <v>330.935</v>
      </c>
      <c r="E11278" s="5" t="n">
        <v>117.8</v>
      </c>
      <c r="F11278" s="3" t="inlineStr">
        <is>
          <t>남이면</t>
        </is>
      </c>
      <c r="G11278" s="3" t="inlineStr">
        <is>
          <t>수대리</t>
        </is>
      </c>
      <c r="H11278" s="3" t="inlineStr">
        <is>
          <t>자연녹지지역</t>
        </is>
      </c>
      <c r="I11278" s="3" t="inlineStr">
        <is>
          <t>답</t>
        </is>
      </c>
      <c r="J11278" s="3" t="inlineStr">
        <is>
          <t>남이면</t>
        </is>
      </c>
    </row>
    <row r="11279">
      <c r="A11279" s="3" t="n">
        <v>2022</v>
      </c>
      <c r="B11279" s="4" t="n">
        <v>300</v>
      </c>
      <c r="C11279" s="4" t="n">
        <v>29</v>
      </c>
      <c r="D11279" s="4" t="n">
        <v>8.772499999999999</v>
      </c>
      <c r="E11279" s="5" t="n">
        <v>34.2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-</t>
        </is>
      </c>
      <c r="I11279" s="3" t="inlineStr">
        <is>
          <t>답</t>
        </is>
      </c>
      <c r="J11279" s="3" t="inlineStr">
        <is>
          <t>남이면</t>
        </is>
      </c>
    </row>
    <row r="11280">
      <c r="A11280" s="3" t="n">
        <v>2022</v>
      </c>
      <c r="B11280" s="4" t="n">
        <v>7480</v>
      </c>
      <c r="C11280" s="4" t="n">
        <v>133</v>
      </c>
      <c r="D11280" s="4" t="n">
        <v>40.2325</v>
      </c>
      <c r="E11280" s="5" t="n">
        <v>185.9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자연녹지지역</t>
        </is>
      </c>
      <c r="I11280" s="3" t="inlineStr">
        <is>
          <t>대</t>
        </is>
      </c>
      <c r="J11280" s="3" t="inlineStr">
        <is>
          <t>남이면</t>
        </is>
      </c>
    </row>
    <row r="11281">
      <c r="A11281" s="3" t="n">
        <v>2022</v>
      </c>
      <c r="B11281" s="4" t="n">
        <v>5585</v>
      </c>
      <c r="C11281" s="4" t="n">
        <v>218</v>
      </c>
      <c r="D11281" s="4" t="n">
        <v>65.94499999999999</v>
      </c>
      <c r="E11281" s="5" t="n">
        <v>84.7</v>
      </c>
      <c r="F11281" s="3" t="inlineStr">
        <is>
          <t>남이면</t>
        </is>
      </c>
      <c r="G11281" s="3" t="inlineStr">
        <is>
          <t>양촌리</t>
        </is>
      </c>
      <c r="H11281" s="3" t="inlineStr">
        <is>
          <t>자연녹지지역</t>
        </is>
      </c>
      <c r="I11281" s="3" t="inlineStr">
        <is>
          <t>임야</t>
        </is>
      </c>
      <c r="J11281" s="3" t="inlineStr">
        <is>
          <t>남이면</t>
        </is>
      </c>
    </row>
    <row r="11282">
      <c r="A11282" s="3" t="n">
        <v>2022</v>
      </c>
      <c r="B11282" s="4" t="n">
        <v>59000</v>
      </c>
      <c r="C11282" s="4" t="n">
        <v>2965</v>
      </c>
      <c r="D11282" s="4" t="n">
        <v>896.9125</v>
      </c>
      <c r="E11282" s="5" t="n">
        <v>65.8</v>
      </c>
      <c r="F11282" s="3" t="inlineStr">
        <is>
          <t>남이면</t>
        </is>
      </c>
      <c r="G11282" s="3" t="inlineStr">
        <is>
          <t>대련리</t>
        </is>
      </c>
      <c r="H11282" s="3" t="inlineStr">
        <is>
          <t>자연녹지지역</t>
        </is>
      </c>
      <c r="I11282" s="3" t="inlineStr">
        <is>
          <t>답</t>
        </is>
      </c>
      <c r="J11282" s="3" t="inlineStr">
        <is>
          <t>남이면</t>
        </is>
      </c>
    </row>
    <row r="11283">
      <c r="A11283" s="3" t="n">
        <v>2022</v>
      </c>
      <c r="B11283" s="4" t="n">
        <v>44167</v>
      </c>
      <c r="C11283" s="4" t="n">
        <v>1248</v>
      </c>
      <c r="D11283" s="4" t="n">
        <v>377.52</v>
      </c>
      <c r="E11283" s="5" t="n">
        <v>117</v>
      </c>
      <c r="F11283" s="3" t="inlineStr">
        <is>
          <t>남이면</t>
        </is>
      </c>
      <c r="G11283" s="3" t="inlineStr">
        <is>
          <t>부용외천리</t>
        </is>
      </c>
      <c r="H11283" s="3" t="inlineStr">
        <is>
          <t>계획관리지역</t>
        </is>
      </c>
      <c r="I11283" s="3" t="inlineStr">
        <is>
          <t>전</t>
        </is>
      </c>
      <c r="J11283" s="3" t="inlineStr">
        <is>
          <t>남이면</t>
        </is>
      </c>
    </row>
    <row r="11284">
      <c r="A11284" s="3" t="n">
        <v>2022</v>
      </c>
      <c r="B11284" s="4" t="n">
        <v>40000</v>
      </c>
      <c r="C11284" s="4" t="n">
        <v>1078</v>
      </c>
      <c r="D11284" s="4" t="n">
        <v>326.095</v>
      </c>
      <c r="E11284" s="5" t="n">
        <v>122.7</v>
      </c>
      <c r="F11284" s="3" t="inlineStr">
        <is>
          <t>남이면</t>
        </is>
      </c>
      <c r="G11284" s="3" t="inlineStr">
        <is>
          <t>부용외천리</t>
        </is>
      </c>
      <c r="H11284" s="3" t="inlineStr">
        <is>
          <t>계획관리지역</t>
        </is>
      </c>
      <c r="I11284" s="3" t="inlineStr">
        <is>
          <t>답</t>
        </is>
      </c>
      <c r="J11284" s="3" t="inlineStr">
        <is>
          <t>남이면</t>
        </is>
      </c>
    </row>
    <row r="11285">
      <c r="A11285" s="3" t="n">
        <v>2022</v>
      </c>
      <c r="B11285" s="4" t="n">
        <v>1525</v>
      </c>
      <c r="C11285" s="4" t="n">
        <v>36</v>
      </c>
      <c r="D11285" s="4" t="n">
        <v>10.89</v>
      </c>
      <c r="E11285" s="5" t="n">
        <v>140</v>
      </c>
      <c r="F11285" s="3" t="inlineStr">
        <is>
          <t>남이면</t>
        </is>
      </c>
      <c r="G11285" s="3" t="inlineStr">
        <is>
          <t>부용외천리</t>
        </is>
      </c>
      <c r="H11285" s="3" t="inlineStr">
        <is>
          <t>계획관리지역</t>
        </is>
      </c>
      <c r="I11285" s="3" t="inlineStr">
        <is>
          <t>대</t>
        </is>
      </c>
      <c r="J11285" s="3" t="inlineStr">
        <is>
          <t>남이면</t>
        </is>
      </c>
    </row>
    <row r="11286">
      <c r="A11286" s="3" t="n">
        <v>2022</v>
      </c>
      <c r="B11286" s="4" t="n">
        <v>500</v>
      </c>
      <c r="C11286" s="4" t="n">
        <v>193</v>
      </c>
      <c r="D11286" s="4" t="n">
        <v>58.3825</v>
      </c>
      <c r="E11286" s="5" t="n">
        <v>8.6</v>
      </c>
      <c r="F11286" s="3" t="inlineStr">
        <is>
          <t>남이면</t>
        </is>
      </c>
      <c r="G11286" s="3" t="inlineStr">
        <is>
          <t>외천리</t>
        </is>
      </c>
      <c r="H11286" s="3" t="inlineStr">
        <is>
          <t>계획관리지역</t>
        </is>
      </c>
      <c r="I11286" s="3" t="inlineStr">
        <is>
          <t>임야</t>
        </is>
      </c>
      <c r="J11286" s="3" t="inlineStr">
        <is>
          <t>남이면</t>
        </is>
      </c>
    </row>
    <row r="11287">
      <c r="A11287" s="3" t="n">
        <v>2022</v>
      </c>
      <c r="B11287" s="4" t="n">
        <v>4200</v>
      </c>
      <c r="C11287" s="4" t="n">
        <v>4693</v>
      </c>
      <c r="D11287" s="4" t="n">
        <v>1419.6325</v>
      </c>
      <c r="E11287" s="5" t="n">
        <v>3</v>
      </c>
      <c r="F11287" s="3" t="inlineStr">
        <is>
          <t>남이면</t>
        </is>
      </c>
      <c r="G11287" s="3" t="inlineStr">
        <is>
          <t>석판리</t>
        </is>
      </c>
      <c r="H11287" s="3" t="inlineStr">
        <is>
          <t>보전녹지지역</t>
        </is>
      </c>
      <c r="I11287" s="3" t="inlineStr">
        <is>
          <t>임야</t>
        </is>
      </c>
      <c r="J11287" s="3" t="inlineStr">
        <is>
          <t>남이면</t>
        </is>
      </c>
    </row>
    <row r="11288">
      <c r="A11288" s="3" t="n">
        <v>2022</v>
      </c>
      <c r="B11288" s="4" t="n">
        <v>13800</v>
      </c>
      <c r="C11288" s="4" t="n">
        <v>703</v>
      </c>
      <c r="D11288" s="4" t="n">
        <v>212.6575</v>
      </c>
      <c r="E11288" s="5" t="n">
        <v>64.90000000000001</v>
      </c>
      <c r="F11288" s="3" t="inlineStr">
        <is>
          <t>남이면</t>
        </is>
      </c>
      <c r="G11288" s="3" t="inlineStr">
        <is>
          <t>석판리</t>
        </is>
      </c>
      <c r="H11288" s="3" t="inlineStr">
        <is>
          <t>자연녹지지역</t>
        </is>
      </c>
      <c r="I11288" s="3" t="inlineStr">
        <is>
          <t>임야</t>
        </is>
      </c>
      <c r="J11288" s="3" t="inlineStr">
        <is>
          <t>남이면</t>
        </is>
      </c>
    </row>
    <row r="11289">
      <c r="A11289" s="3" t="n">
        <v>2022</v>
      </c>
      <c r="B11289" s="4" t="n">
        <v>4400</v>
      </c>
      <c r="C11289" s="4" t="n">
        <v>222</v>
      </c>
      <c r="D11289" s="4" t="n">
        <v>67.155</v>
      </c>
      <c r="E11289" s="5" t="n">
        <v>65.5</v>
      </c>
      <c r="F11289" s="3" t="inlineStr">
        <is>
          <t>남이면</t>
        </is>
      </c>
      <c r="G11289" s="3" t="inlineStr">
        <is>
          <t>석판리</t>
        </is>
      </c>
      <c r="H11289" s="3" t="inlineStr">
        <is>
          <t>자연녹지지역</t>
        </is>
      </c>
      <c r="I11289" s="3" t="inlineStr">
        <is>
          <t>임야</t>
        </is>
      </c>
      <c r="J11289" s="3" t="inlineStr">
        <is>
          <t>남이면</t>
        </is>
      </c>
    </row>
    <row r="11290">
      <c r="A11290" s="3" t="n">
        <v>2022</v>
      </c>
      <c r="B11290" s="4" t="n">
        <v>61300</v>
      </c>
      <c r="C11290" s="4" t="n">
        <v>3120</v>
      </c>
      <c r="D11290" s="4" t="n">
        <v>943.8</v>
      </c>
      <c r="E11290" s="5" t="n">
        <v>65</v>
      </c>
      <c r="F11290" s="3" t="inlineStr">
        <is>
          <t>남이면</t>
        </is>
      </c>
      <c r="G11290" s="3" t="inlineStr">
        <is>
          <t>석판리</t>
        </is>
      </c>
      <c r="H11290" s="3" t="inlineStr">
        <is>
          <t>자연녹지지역</t>
        </is>
      </c>
      <c r="I11290" s="3" t="inlineStr">
        <is>
          <t>임야</t>
        </is>
      </c>
      <c r="J11290" s="3" t="inlineStr">
        <is>
          <t>남이면</t>
        </is>
      </c>
    </row>
    <row r="11291">
      <c r="A11291" s="3" t="n">
        <v>2022</v>
      </c>
      <c r="B11291" s="4" t="n">
        <v>1000</v>
      </c>
      <c r="C11291" s="4" t="n">
        <v>49</v>
      </c>
      <c r="D11291" s="4" t="n">
        <v>14.8225</v>
      </c>
      <c r="E11291" s="5" t="n">
        <v>67.5</v>
      </c>
      <c r="F11291" s="3" t="inlineStr">
        <is>
          <t>남이면</t>
        </is>
      </c>
      <c r="G11291" s="3" t="inlineStr">
        <is>
          <t>석판리</t>
        </is>
      </c>
      <c r="H11291" s="3" t="inlineStr">
        <is>
          <t>자연녹지지역</t>
        </is>
      </c>
      <c r="I11291" s="3" t="inlineStr">
        <is>
          <t>도로</t>
        </is>
      </c>
      <c r="J11291" s="3" t="inlineStr">
        <is>
          <t>남이면</t>
        </is>
      </c>
    </row>
    <row r="11292">
      <c r="A11292" s="3" t="n">
        <v>2022</v>
      </c>
      <c r="B11292" s="4" t="n">
        <v>10770</v>
      </c>
      <c r="C11292" s="4" t="n">
        <v>1781</v>
      </c>
      <c r="D11292" s="4" t="n">
        <v>538.7524999999999</v>
      </c>
      <c r="E11292" s="5" t="n">
        <v>20</v>
      </c>
      <c r="F11292" s="3" t="inlineStr">
        <is>
          <t>남이면</t>
        </is>
      </c>
      <c r="G11292" s="3" t="inlineStr">
        <is>
          <t>문동리</t>
        </is>
      </c>
      <c r="H11292" s="3" t="inlineStr">
        <is>
          <t>자연녹지지역</t>
        </is>
      </c>
      <c r="I11292" s="3" t="inlineStr">
        <is>
          <t>답</t>
        </is>
      </c>
      <c r="J11292" s="3" t="inlineStr">
        <is>
          <t>남이면</t>
        </is>
      </c>
    </row>
    <row r="11293">
      <c r="A11293" s="3" t="n">
        <v>2022</v>
      </c>
      <c r="B11293" s="4" t="n">
        <v>3250</v>
      </c>
      <c r="C11293" s="4" t="n">
        <v>165</v>
      </c>
      <c r="D11293" s="4" t="n">
        <v>49.9125</v>
      </c>
      <c r="E11293" s="5" t="n">
        <v>65.09999999999999</v>
      </c>
      <c r="F11293" s="3" t="inlineStr">
        <is>
          <t>남이면</t>
        </is>
      </c>
      <c r="G11293" s="3" t="inlineStr">
        <is>
          <t>석판리</t>
        </is>
      </c>
      <c r="H11293" s="3" t="inlineStr">
        <is>
          <t>자연녹지지역</t>
        </is>
      </c>
      <c r="I11293" s="3" t="inlineStr">
        <is>
          <t>전</t>
        </is>
      </c>
      <c r="J11293" s="3" t="inlineStr">
        <is>
          <t>남이면</t>
        </is>
      </c>
    </row>
    <row r="11294">
      <c r="A11294" s="3" t="n">
        <v>2022</v>
      </c>
      <c r="B11294" s="4" t="n">
        <v>800</v>
      </c>
      <c r="C11294" s="4" t="n">
        <v>41</v>
      </c>
      <c r="D11294" s="4" t="n">
        <v>12.4025</v>
      </c>
      <c r="E11294" s="5" t="n">
        <v>64.5</v>
      </c>
      <c r="F11294" s="3" t="inlineStr">
        <is>
          <t>남이면</t>
        </is>
      </c>
      <c r="G11294" s="3" t="inlineStr">
        <is>
          <t>석판리</t>
        </is>
      </c>
      <c r="H11294" s="3" t="inlineStr">
        <is>
          <t>자연녹지지역</t>
        </is>
      </c>
      <c r="I11294" s="3" t="inlineStr">
        <is>
          <t>도로</t>
        </is>
      </c>
      <c r="J11294" s="3" t="inlineStr">
        <is>
          <t>남이면</t>
        </is>
      </c>
    </row>
    <row r="11295">
      <c r="A11295" s="3" t="n">
        <v>2022</v>
      </c>
      <c r="B11295" s="4" t="n">
        <v>1100</v>
      </c>
      <c r="C11295" s="4" t="n">
        <v>55</v>
      </c>
      <c r="D11295" s="4" t="n">
        <v>16.6375</v>
      </c>
      <c r="E11295" s="5" t="n">
        <v>66.09999999999999</v>
      </c>
      <c r="F11295" s="3" t="inlineStr">
        <is>
          <t>남이면</t>
        </is>
      </c>
      <c r="G11295" s="3" t="inlineStr">
        <is>
          <t>석판리</t>
        </is>
      </c>
      <c r="H11295" s="3" t="inlineStr">
        <is>
          <t>자연녹지지역</t>
        </is>
      </c>
      <c r="I11295" s="3" t="inlineStr">
        <is>
          <t>전</t>
        </is>
      </c>
      <c r="J11295" s="3" t="inlineStr">
        <is>
          <t>남이면</t>
        </is>
      </c>
    </row>
    <row r="11296">
      <c r="A11296" s="3" t="n">
        <v>2022</v>
      </c>
      <c r="B11296" s="4" t="n">
        <v>10500</v>
      </c>
      <c r="C11296" s="4" t="n">
        <v>532</v>
      </c>
      <c r="D11296" s="4" t="n">
        <v>160.93</v>
      </c>
      <c r="E11296" s="5" t="n">
        <v>65.2</v>
      </c>
      <c r="F11296" s="3" t="inlineStr">
        <is>
          <t>남이면</t>
        </is>
      </c>
      <c r="G11296" s="3" t="inlineStr">
        <is>
          <t>석판리</t>
        </is>
      </c>
      <c r="H11296" s="3" t="inlineStr">
        <is>
          <t>자연녹지지역</t>
        </is>
      </c>
      <c r="I11296" s="3" t="inlineStr">
        <is>
          <t>대</t>
        </is>
      </c>
      <c r="J11296" s="3" t="inlineStr">
        <is>
          <t>남이면</t>
        </is>
      </c>
    </row>
    <row r="11297">
      <c r="A11297" s="3" t="n">
        <v>2022</v>
      </c>
      <c r="B11297" s="4" t="n">
        <v>700</v>
      </c>
      <c r="C11297" s="4" t="n">
        <v>38</v>
      </c>
      <c r="D11297" s="4" t="n">
        <v>11.495</v>
      </c>
      <c r="E11297" s="5" t="n">
        <v>60.9</v>
      </c>
      <c r="F11297" s="3" t="inlineStr">
        <is>
          <t>남이면</t>
        </is>
      </c>
      <c r="G11297" s="3" t="inlineStr">
        <is>
          <t>석판리</t>
        </is>
      </c>
      <c r="H11297" s="3" t="inlineStr">
        <is>
          <t>자연녹지지역</t>
        </is>
      </c>
      <c r="I11297" s="3" t="inlineStr">
        <is>
          <t>도로</t>
        </is>
      </c>
      <c r="J11297" s="3" t="inlineStr">
        <is>
          <t>남이면</t>
        </is>
      </c>
    </row>
    <row r="11298">
      <c r="A11298" s="3" t="n">
        <v>2022</v>
      </c>
      <c r="B11298" s="4" t="n">
        <v>27800</v>
      </c>
      <c r="C11298" s="4" t="n">
        <v>1412</v>
      </c>
      <c r="D11298" s="4" t="n">
        <v>427.13</v>
      </c>
      <c r="E11298" s="5" t="n">
        <v>65.09999999999999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자연녹지지역</t>
        </is>
      </c>
      <c r="I11298" s="3" t="inlineStr">
        <is>
          <t>전</t>
        </is>
      </c>
      <c r="J11298" s="3" t="inlineStr">
        <is>
          <t>남이면</t>
        </is>
      </c>
    </row>
    <row r="11299">
      <c r="A11299" s="3" t="n">
        <v>2022</v>
      </c>
      <c r="B11299" s="4" t="n">
        <v>44500</v>
      </c>
      <c r="C11299" s="4" t="n">
        <v>2261</v>
      </c>
      <c r="D11299" s="4" t="n">
        <v>683.9525</v>
      </c>
      <c r="E11299" s="5" t="n">
        <v>65.09999999999999</v>
      </c>
      <c r="F11299" s="3" t="inlineStr">
        <is>
          <t>남이면</t>
        </is>
      </c>
      <c r="G11299" s="3" t="inlineStr">
        <is>
          <t>석판리</t>
        </is>
      </c>
      <c r="H11299" s="3" t="inlineStr">
        <is>
          <t>자연녹지지역</t>
        </is>
      </c>
      <c r="I11299" s="3" t="inlineStr">
        <is>
          <t>전</t>
        </is>
      </c>
      <c r="J11299" s="3" t="inlineStr">
        <is>
          <t>남이면</t>
        </is>
      </c>
    </row>
    <row r="11300">
      <c r="A11300" s="3" t="n">
        <v>2022</v>
      </c>
      <c r="B11300" s="4" t="n">
        <v>200</v>
      </c>
      <c r="C11300" s="4" t="n">
        <v>12</v>
      </c>
      <c r="D11300" s="4" t="n">
        <v>3.63</v>
      </c>
      <c r="E11300" s="5" t="n">
        <v>55.1</v>
      </c>
      <c r="F11300" s="3" t="inlineStr">
        <is>
          <t>남이면</t>
        </is>
      </c>
      <c r="G11300" s="3" t="inlineStr">
        <is>
          <t>석판리</t>
        </is>
      </c>
      <c r="H11300" s="3" t="inlineStr">
        <is>
          <t>자연녹지지역</t>
        </is>
      </c>
      <c r="I11300" s="3" t="inlineStr">
        <is>
          <t>전</t>
        </is>
      </c>
      <c r="J11300" s="3" t="inlineStr">
        <is>
          <t>남이면</t>
        </is>
      </c>
    </row>
    <row r="11301">
      <c r="A11301" s="3" t="n">
        <v>2022</v>
      </c>
      <c r="B11301" s="4" t="n">
        <v>9700</v>
      </c>
      <c r="C11301" s="4" t="n">
        <v>495</v>
      </c>
      <c r="D11301" s="4" t="n">
        <v>149.7375</v>
      </c>
      <c r="E11301" s="5" t="n">
        <v>64.8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자연녹지지역</t>
        </is>
      </c>
      <c r="I11301" s="3" t="inlineStr">
        <is>
          <t>전</t>
        </is>
      </c>
      <c r="J11301" s="3" t="inlineStr">
        <is>
          <t>남이면</t>
        </is>
      </c>
    </row>
    <row r="11302">
      <c r="A11302" s="3" t="n">
        <v>2022</v>
      </c>
      <c r="B11302" s="4" t="n">
        <v>14000</v>
      </c>
      <c r="C11302" s="4" t="n">
        <v>853</v>
      </c>
      <c r="D11302" s="4" t="n">
        <v>258.0325</v>
      </c>
      <c r="E11302" s="5" t="n">
        <v>54.3</v>
      </c>
      <c r="F11302" s="3" t="inlineStr">
        <is>
          <t>남이면</t>
        </is>
      </c>
      <c r="G11302" s="3" t="inlineStr">
        <is>
          <t>부용외천리</t>
        </is>
      </c>
      <c r="H11302" s="3" t="inlineStr">
        <is>
          <t>계획관리지역</t>
        </is>
      </c>
      <c r="I11302" s="3" t="inlineStr">
        <is>
          <t>임야</t>
        </is>
      </c>
      <c r="J11302" s="3" t="inlineStr">
        <is>
          <t>남이면</t>
        </is>
      </c>
    </row>
    <row r="11303">
      <c r="A11303" s="3" t="n">
        <v>2022</v>
      </c>
      <c r="B11303" s="4" t="n">
        <v>24390</v>
      </c>
      <c r="C11303" s="4" t="n">
        <v>681</v>
      </c>
      <c r="D11303" s="4" t="n">
        <v>206.0025</v>
      </c>
      <c r="E11303" s="5" t="n">
        <v>118.4</v>
      </c>
      <c r="F11303" s="3" t="inlineStr">
        <is>
          <t>남이면</t>
        </is>
      </c>
      <c r="G11303" s="3" t="inlineStr">
        <is>
          <t>가좌리</t>
        </is>
      </c>
      <c r="H11303" s="3" t="inlineStr">
        <is>
          <t>자연녹지지역</t>
        </is>
      </c>
      <c r="I11303" s="3" t="inlineStr">
        <is>
          <t>전</t>
        </is>
      </c>
      <c r="J11303" s="3" t="inlineStr">
        <is>
          <t>남이면</t>
        </is>
      </c>
    </row>
    <row r="11304">
      <c r="A11304" s="3" t="n">
        <v>2022</v>
      </c>
      <c r="B11304" s="4" t="n">
        <v>548</v>
      </c>
      <c r="C11304" s="4" t="n">
        <v>17</v>
      </c>
      <c r="D11304" s="4" t="n">
        <v>5.1425</v>
      </c>
      <c r="E11304" s="5" t="n">
        <v>106.6</v>
      </c>
      <c r="F11304" s="3" t="inlineStr">
        <is>
          <t>남이면</t>
        </is>
      </c>
      <c r="G11304" s="3" t="inlineStr">
        <is>
          <t>가좌리</t>
        </is>
      </c>
      <c r="H11304" s="3" t="inlineStr">
        <is>
          <t>자연녹지지역</t>
        </is>
      </c>
      <c r="I11304" s="3" t="inlineStr">
        <is>
          <t>전</t>
        </is>
      </c>
      <c r="J11304" s="3" t="inlineStr">
        <is>
          <t>남이면</t>
        </is>
      </c>
    </row>
    <row r="11305">
      <c r="A11305" s="3" t="n">
        <v>2022</v>
      </c>
      <c r="B11305" s="4" t="n">
        <v>18226</v>
      </c>
      <c r="C11305" s="4" t="n">
        <v>1887</v>
      </c>
      <c r="D11305" s="4" t="n">
        <v>570.8175</v>
      </c>
      <c r="E11305" s="5" t="n">
        <v>31.9</v>
      </c>
      <c r="F11305" s="3" t="inlineStr">
        <is>
          <t>유구읍</t>
        </is>
      </c>
      <c r="G11305" s="3" t="inlineStr">
        <is>
          <t>유구리</t>
        </is>
      </c>
      <c r="H11305" s="3" t="inlineStr">
        <is>
          <t>계획관리지역</t>
        </is>
      </c>
      <c r="I11305" s="3" t="inlineStr">
        <is>
          <t>전</t>
        </is>
      </c>
      <c r="J11305" s="3" t="inlineStr">
        <is>
          <t>유구읍</t>
        </is>
      </c>
    </row>
    <row r="11306">
      <c r="A11306" s="3" t="n">
        <v>2022</v>
      </c>
      <c r="B11306" s="4" t="n">
        <v>2683</v>
      </c>
      <c r="C11306" s="4" t="n">
        <v>730</v>
      </c>
      <c r="D11306" s="4" t="n">
        <v>220.825</v>
      </c>
      <c r="E11306" s="5" t="n">
        <v>12.1</v>
      </c>
      <c r="F11306" s="3" t="inlineStr">
        <is>
          <t>유구읍</t>
        </is>
      </c>
      <c r="G11306" s="3" t="inlineStr">
        <is>
          <t>유구리</t>
        </is>
      </c>
      <c r="H11306" s="3" t="inlineStr">
        <is>
          <t>계획관리지역</t>
        </is>
      </c>
      <c r="I11306" s="3" t="inlineStr">
        <is>
          <t>임야</t>
        </is>
      </c>
      <c r="J11306" s="3" t="inlineStr">
        <is>
          <t>유구읍</t>
        </is>
      </c>
    </row>
    <row r="11307">
      <c r="A11307" s="3" t="n">
        <v>2022</v>
      </c>
      <c r="B11307" s="4" t="n">
        <v>3381</v>
      </c>
      <c r="C11307" s="4" t="n">
        <v>315</v>
      </c>
      <c r="D11307" s="4" t="n">
        <v>95.28749999999999</v>
      </c>
      <c r="E11307" s="5" t="n">
        <v>35.5</v>
      </c>
      <c r="F11307" s="3" t="inlineStr">
        <is>
          <t>유구읍</t>
        </is>
      </c>
      <c r="G11307" s="3" t="inlineStr">
        <is>
          <t>유구리</t>
        </is>
      </c>
      <c r="H11307" s="3" t="inlineStr">
        <is>
          <t>계획관리지역</t>
        </is>
      </c>
      <c r="I11307" s="3" t="inlineStr">
        <is>
          <t>전</t>
        </is>
      </c>
      <c r="J11307" s="3" t="inlineStr">
        <is>
          <t>유구읍</t>
        </is>
      </c>
    </row>
    <row r="11308">
      <c r="A11308" s="3" t="n">
        <v>2022</v>
      </c>
      <c r="B11308" s="4" t="n">
        <v>13000</v>
      </c>
      <c r="C11308" s="4" t="n">
        <v>2995</v>
      </c>
      <c r="D11308" s="4" t="n">
        <v>905.9875</v>
      </c>
      <c r="E11308" s="5" t="n">
        <v>14.3</v>
      </c>
      <c r="F11308" s="3" t="inlineStr">
        <is>
          <t>유구읍</t>
        </is>
      </c>
      <c r="G11308" s="3" t="inlineStr">
        <is>
          <t>신달리</t>
        </is>
      </c>
      <c r="H11308" s="3" t="inlineStr">
        <is>
          <t>보전관리지역</t>
        </is>
      </c>
      <c r="I11308" s="3" t="inlineStr">
        <is>
          <t>전</t>
        </is>
      </c>
      <c r="J11308" s="3" t="inlineStr">
        <is>
          <t>유구읍</t>
        </is>
      </c>
    </row>
    <row r="11309">
      <c r="A11309" s="3" t="n">
        <v>2023</v>
      </c>
      <c r="B11309" s="4" t="n">
        <v>29178</v>
      </c>
      <c r="C11309" s="4" t="n">
        <v>331</v>
      </c>
      <c r="D11309" s="4" t="n">
        <v>100.1275</v>
      </c>
      <c r="E11309" s="5" t="n">
        <v>291.4</v>
      </c>
      <c r="F11309" s="3" t="inlineStr">
        <is>
          <t>금남면</t>
        </is>
      </c>
      <c r="G11309" s="3" t="inlineStr">
        <is>
          <t>감성리</t>
        </is>
      </c>
      <c r="H11309" s="3" t="inlineStr">
        <is>
          <t>계획관리지역</t>
        </is>
      </c>
      <c r="I11309" s="3" t="inlineStr">
        <is>
          <t>도로</t>
        </is>
      </c>
      <c r="J11309" s="3" t="inlineStr">
        <is>
          <t>금남면</t>
        </is>
      </c>
    </row>
    <row r="11310">
      <c r="A11310" s="3" t="n">
        <v>2024</v>
      </c>
      <c r="B11310" s="4" t="n">
        <v>37000</v>
      </c>
      <c r="C11310" s="4" t="n">
        <v>990</v>
      </c>
      <c r="D11310" s="4" t="n">
        <v>299.475</v>
      </c>
      <c r="E11310" s="5" t="n">
        <v>123.5</v>
      </c>
      <c r="F11310" s="3" t="inlineStr">
        <is>
          <t>조치원읍</t>
        </is>
      </c>
      <c r="G11310" s="3" t="inlineStr">
        <is>
          <t>신안리</t>
        </is>
      </c>
      <c r="H11310" s="3" t="inlineStr">
        <is>
          <t>자연녹지지역</t>
        </is>
      </c>
      <c r="I11310" s="3" t="inlineStr">
        <is>
          <t>전</t>
        </is>
      </c>
      <c r="J11310" s="3" t="inlineStr">
        <is>
          <t>조치원읍</t>
        </is>
      </c>
    </row>
    <row r="11311">
      <c r="A11311" s="3" t="n">
        <v>2025</v>
      </c>
      <c r="B11311" s="4" t="n">
        <v>12000</v>
      </c>
      <c r="C11311" s="4" t="n">
        <v>51</v>
      </c>
      <c r="D11311" s="4" t="n">
        <v>15.4275</v>
      </c>
      <c r="E11311" s="5" t="n">
        <v>777.8</v>
      </c>
      <c r="F11311" s="3" t="inlineStr">
        <is>
          <t>조치원읍</t>
        </is>
      </c>
      <c r="G11311" s="3" t="inlineStr">
        <is>
          <t>신안리</t>
        </is>
      </c>
      <c r="H11311" s="3" t="inlineStr">
        <is>
          <t>제2종일반주거지역</t>
        </is>
      </c>
      <c r="I11311" s="3" t="inlineStr">
        <is>
          <t>대</t>
        </is>
      </c>
      <c r="J11311" s="3" t="inlineStr">
        <is>
          <t>조치원읍</t>
        </is>
      </c>
    </row>
    <row r="11312">
      <c r="A11312" s="3" t="n">
        <v>2022</v>
      </c>
      <c r="B11312" s="4" t="n">
        <v>37570</v>
      </c>
      <c r="C11312" s="4" t="n">
        <v>446</v>
      </c>
      <c r="D11312" s="4" t="n">
        <v>134.915</v>
      </c>
      <c r="E11312" s="5" t="n">
        <v>278.5</v>
      </c>
      <c r="F11312" s="3" t="inlineStr">
        <is>
          <t>전의면</t>
        </is>
      </c>
      <c r="G11312" s="3" t="inlineStr">
        <is>
          <t>신흥리</t>
        </is>
      </c>
      <c r="H11312" s="3" t="inlineStr">
        <is>
          <t>농림지역</t>
        </is>
      </c>
      <c r="I11312" s="3" t="inlineStr">
        <is>
          <t>답</t>
        </is>
      </c>
      <c r="J11312" s="3" t="inlineStr">
        <is>
          <t>전의면</t>
        </is>
      </c>
    </row>
    <row r="11313">
      <c r="A11313" s="3" t="n">
        <v>2022</v>
      </c>
      <c r="B11313" s="4" t="n">
        <v>49687</v>
      </c>
      <c r="C11313" s="4" t="n">
        <v>595</v>
      </c>
      <c r="D11313" s="4" t="n">
        <v>179.9875</v>
      </c>
      <c r="E11313" s="5" t="n">
        <v>276.1</v>
      </c>
      <c r="F11313" s="3" t="inlineStr">
        <is>
          <t>전의면</t>
        </is>
      </c>
      <c r="G11313" s="3" t="inlineStr">
        <is>
          <t>신흥리</t>
        </is>
      </c>
      <c r="H11313" s="3" t="inlineStr">
        <is>
          <t>농림지역</t>
        </is>
      </c>
      <c r="I11313" s="3" t="inlineStr">
        <is>
          <t>답</t>
        </is>
      </c>
      <c r="J11313" s="3" t="inlineStr">
        <is>
          <t>전의면</t>
        </is>
      </c>
    </row>
    <row r="11314">
      <c r="A11314" s="3" t="n">
        <v>2022</v>
      </c>
      <c r="B11314" s="4" t="n">
        <v>1650</v>
      </c>
      <c r="C11314" s="4" t="n">
        <v>44</v>
      </c>
      <c r="D11314" s="4" t="n">
        <v>13.31</v>
      </c>
      <c r="E11314" s="5" t="n">
        <v>124</v>
      </c>
      <c r="F11314" s="3" t="inlineStr">
        <is>
          <t>부강면</t>
        </is>
      </c>
      <c r="G11314" s="3" t="inlineStr">
        <is>
          <t>문곡리</t>
        </is>
      </c>
      <c r="H11314" s="3" t="inlineStr">
        <is>
          <t>계획관리지역</t>
        </is>
      </c>
      <c r="I11314" s="3" t="inlineStr">
        <is>
          <t>대</t>
        </is>
      </c>
      <c r="J11314" s="3" t="inlineStr">
        <is>
          <t>부강면</t>
        </is>
      </c>
    </row>
    <row r="11315">
      <c r="A11315" s="3" t="n">
        <v>2022</v>
      </c>
      <c r="B11315" s="4" t="n">
        <v>1350</v>
      </c>
      <c r="C11315" s="4" t="n">
        <v>30</v>
      </c>
      <c r="D11315" s="4" t="n">
        <v>9.074999999999999</v>
      </c>
      <c r="E11315" s="5" t="n">
        <v>148.8</v>
      </c>
      <c r="F11315" s="3" t="inlineStr">
        <is>
          <t>부강면</t>
        </is>
      </c>
      <c r="G11315" s="3" t="inlineStr">
        <is>
          <t>문곡리</t>
        </is>
      </c>
      <c r="H11315" s="3" t="inlineStr">
        <is>
          <t>계획관리지역</t>
        </is>
      </c>
      <c r="I11315" s="3" t="inlineStr">
        <is>
          <t>대</t>
        </is>
      </c>
      <c r="J11315" s="3" t="inlineStr">
        <is>
          <t>부강면</t>
        </is>
      </c>
    </row>
    <row r="11316">
      <c r="A11316" s="3" t="n">
        <v>2022</v>
      </c>
      <c r="B11316" s="4" t="n">
        <v>2000</v>
      </c>
      <c r="C11316" s="4" t="n">
        <v>66</v>
      </c>
      <c r="D11316" s="4" t="n">
        <v>19.965</v>
      </c>
      <c r="E11316" s="5" t="n">
        <v>100.2</v>
      </c>
      <c r="F11316" s="3" t="inlineStr">
        <is>
          <t>전의면</t>
        </is>
      </c>
      <c r="G11316" s="3" t="inlineStr">
        <is>
          <t>관정리</t>
        </is>
      </c>
      <c r="H11316" s="3" t="inlineStr">
        <is>
          <t>계획관리지역</t>
        </is>
      </c>
      <c r="I11316" s="3" t="inlineStr">
        <is>
          <t>답</t>
        </is>
      </c>
      <c r="J11316" s="3" t="inlineStr">
        <is>
          <t>전의면</t>
        </is>
      </c>
    </row>
    <row r="11317">
      <c r="A11317" s="3" t="n">
        <v>2022</v>
      </c>
      <c r="B11317" s="4" t="n">
        <v>22180</v>
      </c>
      <c r="C11317" s="4" t="n">
        <v>1266</v>
      </c>
      <c r="D11317" s="4" t="n">
        <v>382.965</v>
      </c>
      <c r="E11317" s="5" t="n">
        <v>57.9</v>
      </c>
      <c r="F11317" s="3" t="inlineStr">
        <is>
          <t>전의면</t>
        </is>
      </c>
      <c r="G11317" s="3" t="inlineStr">
        <is>
          <t>관정리</t>
        </is>
      </c>
      <c r="H11317" s="3" t="inlineStr">
        <is>
          <t>계획관리지역</t>
        </is>
      </c>
      <c r="I11317" s="3" t="inlineStr">
        <is>
          <t>답</t>
        </is>
      </c>
      <c r="J11317" s="3" t="inlineStr">
        <is>
          <t>전의면</t>
        </is>
      </c>
    </row>
    <row r="11318">
      <c r="A11318" s="3" t="n">
        <v>2022</v>
      </c>
      <c r="B11318" s="4" t="n">
        <v>22300</v>
      </c>
      <c r="C11318" s="4" t="n">
        <v>1101</v>
      </c>
      <c r="D11318" s="4" t="n">
        <v>333.0525</v>
      </c>
      <c r="E11318" s="5" t="n">
        <v>67</v>
      </c>
      <c r="F11318" s="3" t="inlineStr">
        <is>
          <t>연기면</t>
        </is>
      </c>
      <c r="G11318" s="3" t="inlineStr">
        <is>
          <t>수산리</t>
        </is>
      </c>
      <c r="H11318" s="3" t="inlineStr">
        <is>
          <t>생산관리지역</t>
        </is>
      </c>
      <c r="I11318" s="3" t="inlineStr">
        <is>
          <t>답</t>
        </is>
      </c>
      <c r="J11318" s="3" t="inlineStr">
        <is>
          <t>연기면</t>
        </is>
      </c>
    </row>
    <row r="11319">
      <c r="A11319" s="3" t="n">
        <v>2022</v>
      </c>
      <c r="B11319" s="4" t="n">
        <v>41347</v>
      </c>
      <c r="C11319" s="4" t="n">
        <v>15159</v>
      </c>
      <c r="D11319" s="4" t="n">
        <v>4585.5975</v>
      </c>
      <c r="E11319" s="5" t="n">
        <v>9</v>
      </c>
      <c r="F11319" s="3" t="inlineStr">
        <is>
          <t>소정면</t>
        </is>
      </c>
      <c r="G11319" s="3" t="inlineStr">
        <is>
          <t>대곡리</t>
        </is>
      </c>
      <c r="H11319" s="3" t="inlineStr">
        <is>
          <t>농림지역</t>
        </is>
      </c>
      <c r="I11319" s="3" t="inlineStr">
        <is>
          <t>임야</t>
        </is>
      </c>
      <c r="J11319" s="3" t="inlineStr">
        <is>
          <t>소정면</t>
        </is>
      </c>
    </row>
    <row r="11320">
      <c r="A11320" s="3" t="n">
        <v>2022</v>
      </c>
      <c r="B11320" s="4" t="n">
        <v>48000</v>
      </c>
      <c r="C11320" s="4" t="n">
        <v>377</v>
      </c>
      <c r="D11320" s="4" t="n">
        <v>114.0425</v>
      </c>
      <c r="E11320" s="5" t="n">
        <v>420.9</v>
      </c>
      <c r="F11320" s="3" t="inlineStr">
        <is>
          <t>부강면</t>
        </is>
      </c>
      <c r="G11320" s="3" t="inlineStr">
        <is>
          <t>부강리</t>
        </is>
      </c>
      <c r="H11320" s="3" t="inlineStr">
        <is>
          <t>제2종일반주거지역</t>
        </is>
      </c>
      <c r="I11320" s="3" t="inlineStr">
        <is>
          <t>전</t>
        </is>
      </c>
      <c r="J11320" s="3" t="inlineStr">
        <is>
          <t>부강면</t>
        </is>
      </c>
    </row>
    <row r="11321">
      <c r="A11321" s="3" t="n">
        <v>2022</v>
      </c>
      <c r="B11321" s="4" t="n">
        <v>161038</v>
      </c>
      <c r="C11321" s="4" t="n">
        <v>7438</v>
      </c>
      <c r="D11321" s="4" t="n">
        <v>2249.995</v>
      </c>
      <c r="E11321" s="5" t="n">
        <v>71.59999999999999</v>
      </c>
      <c r="F11321" s="3" t="inlineStr">
        <is>
          <t>장군면</t>
        </is>
      </c>
      <c r="G11321" s="3" t="inlineStr">
        <is>
          <t>금암리</t>
        </is>
      </c>
      <c r="H11321" s="3" t="inlineStr">
        <is>
          <t>보전관리지역</t>
        </is>
      </c>
      <c r="I11321" s="3" t="inlineStr">
        <is>
          <t>임야</t>
        </is>
      </c>
      <c r="J11321" s="3" t="inlineStr">
        <is>
          <t>장군면</t>
        </is>
      </c>
    </row>
    <row r="11322">
      <c r="A11322" s="3" t="n">
        <v>2022</v>
      </c>
      <c r="B11322" s="4" t="n">
        <v>476362</v>
      </c>
      <c r="C11322" s="4" t="n">
        <v>12528</v>
      </c>
      <c r="D11322" s="4" t="n">
        <v>3789.72</v>
      </c>
      <c r="E11322" s="5" t="n">
        <v>125.7</v>
      </c>
      <c r="F11322" s="3" t="inlineStr">
        <is>
          <t>장군면</t>
        </is>
      </c>
      <c r="G11322" s="3" t="inlineStr">
        <is>
          <t>금암리</t>
        </is>
      </c>
      <c r="H11322" s="3" t="inlineStr">
        <is>
          <t>보전관리지역</t>
        </is>
      </c>
      <c r="I11322" s="3" t="inlineStr">
        <is>
          <t>임야</t>
        </is>
      </c>
      <c r="J11322" s="3" t="inlineStr">
        <is>
          <t>장군면</t>
        </is>
      </c>
    </row>
    <row r="11323">
      <c r="A11323" s="3" t="n">
        <v>2022</v>
      </c>
      <c r="B11323" s="4" t="n">
        <v>30000</v>
      </c>
      <c r="C11323" s="4" t="n">
        <v>707</v>
      </c>
      <c r="D11323" s="4" t="n">
        <v>213.8675</v>
      </c>
      <c r="E11323" s="5" t="n">
        <v>140.3</v>
      </c>
      <c r="F11323" s="3" t="inlineStr">
        <is>
          <t>장군면</t>
        </is>
      </c>
      <c r="G11323" s="3" t="inlineStr">
        <is>
          <t>금암리</t>
        </is>
      </c>
      <c r="H11323" s="3" t="inlineStr">
        <is>
          <t>생산관리지역</t>
        </is>
      </c>
      <c r="I11323" s="3" t="inlineStr">
        <is>
          <t>전</t>
        </is>
      </c>
      <c r="J11323" s="3" t="inlineStr">
        <is>
          <t>장군면</t>
        </is>
      </c>
    </row>
    <row r="11324">
      <c r="A11324" s="3" t="n">
        <v>2022</v>
      </c>
      <c r="B11324" s="4" t="n">
        <v>600</v>
      </c>
      <c r="C11324" s="4" t="n">
        <v>14</v>
      </c>
      <c r="D11324" s="4" t="n">
        <v>4.234999999999999</v>
      </c>
      <c r="E11324" s="5" t="n">
        <v>141.7</v>
      </c>
      <c r="F11324" s="3" t="inlineStr">
        <is>
          <t>장군면</t>
        </is>
      </c>
      <c r="G11324" s="3" t="inlineStr">
        <is>
          <t>금암리</t>
        </is>
      </c>
      <c r="H11324" s="3" t="inlineStr">
        <is>
          <t>생산관리지역</t>
        </is>
      </c>
      <c r="I11324" s="3" t="inlineStr">
        <is>
          <t>전</t>
        </is>
      </c>
      <c r="J11324" s="3" t="inlineStr">
        <is>
          <t>장군면</t>
        </is>
      </c>
    </row>
    <row r="11325">
      <c r="A11325" s="3" t="n">
        <v>2023</v>
      </c>
      <c r="B11325" s="4" t="n">
        <v>1616</v>
      </c>
      <c r="C11325" s="4" t="n">
        <v>26</v>
      </c>
      <c r="D11325" s="4" t="n">
        <v>7.865</v>
      </c>
      <c r="E11325" s="5" t="n">
        <v>205.5</v>
      </c>
      <c r="F11325" s="3" t="inlineStr">
        <is>
          <t>금남면</t>
        </is>
      </c>
      <c r="G11325" s="3" t="inlineStr">
        <is>
          <t>감성리</t>
        </is>
      </c>
      <c r="H11325" s="3" t="inlineStr">
        <is>
          <t>계획관리지역</t>
        </is>
      </c>
      <c r="I11325" s="3" t="inlineStr">
        <is>
          <t>도로</t>
        </is>
      </c>
      <c r="J11325" s="3" t="inlineStr">
        <is>
          <t>금남면</t>
        </is>
      </c>
    </row>
    <row r="11326">
      <c r="A11326" s="3" t="n">
        <v>2023</v>
      </c>
      <c r="B11326" s="4" t="n">
        <v>15450</v>
      </c>
      <c r="C11326" s="4" t="n">
        <v>1020</v>
      </c>
      <c r="D11326" s="4" t="n">
        <v>308.55</v>
      </c>
      <c r="E11326" s="5" t="n">
        <v>50.1</v>
      </c>
      <c r="F11326" s="3" t="inlineStr">
        <is>
          <t>연서면</t>
        </is>
      </c>
      <c r="G11326" s="3" t="inlineStr">
        <is>
          <t>기룡리</t>
        </is>
      </c>
      <c r="H11326" s="3" t="inlineStr">
        <is>
          <t>생산관리지역</t>
        </is>
      </c>
      <c r="I11326" s="3" t="inlineStr">
        <is>
          <t>답</t>
        </is>
      </c>
      <c r="J11326" s="3" t="inlineStr">
        <is>
          <t>연서면</t>
        </is>
      </c>
    </row>
    <row r="11327">
      <c r="A11327" s="3" t="n">
        <v>2023</v>
      </c>
      <c r="B11327" s="4" t="n">
        <v>9270</v>
      </c>
      <c r="C11327" s="4" t="n">
        <v>347</v>
      </c>
      <c r="D11327" s="4" t="n">
        <v>104.9675</v>
      </c>
      <c r="E11327" s="5" t="n">
        <v>88.3</v>
      </c>
      <c r="F11327" s="3" t="inlineStr">
        <is>
          <t>연기면</t>
        </is>
      </c>
      <c r="G11327" s="3" t="inlineStr">
        <is>
          <t>연기리</t>
        </is>
      </c>
      <c r="H11327" s="3" t="inlineStr">
        <is>
          <t>계획관리지역</t>
        </is>
      </c>
      <c r="I11327" s="3" t="inlineStr">
        <is>
          <t>도로</t>
        </is>
      </c>
      <c r="J11327" s="3" t="inlineStr">
        <is>
          <t>연기면</t>
        </is>
      </c>
    </row>
    <row r="11328">
      <c r="A11328" s="3" t="n">
        <v>2023</v>
      </c>
      <c r="B11328" s="4" t="n">
        <v>80</v>
      </c>
      <c r="C11328" s="4" t="n">
        <v>3</v>
      </c>
      <c r="D11328" s="4" t="n">
        <v>0.9075</v>
      </c>
      <c r="E11328" s="5" t="n">
        <v>88.2</v>
      </c>
      <c r="F11328" s="3" t="inlineStr">
        <is>
          <t>연기면</t>
        </is>
      </c>
      <c r="G11328" s="3" t="inlineStr">
        <is>
          <t>보통리</t>
        </is>
      </c>
      <c r="H11328" s="3" t="inlineStr">
        <is>
          <t>계획관리지역</t>
        </is>
      </c>
      <c r="I11328" s="3" t="inlineStr">
        <is>
          <t>도로</t>
        </is>
      </c>
      <c r="J11328" s="3" t="inlineStr">
        <is>
          <t>연기면</t>
        </is>
      </c>
    </row>
    <row r="11329">
      <c r="A11329" s="3" t="n">
        <v>2023</v>
      </c>
      <c r="B11329" s="4" t="n">
        <v>12910</v>
      </c>
      <c r="C11329" s="4" t="n">
        <v>483</v>
      </c>
      <c r="D11329" s="4" t="n">
        <v>146.1075</v>
      </c>
      <c r="E11329" s="5" t="n">
        <v>88.40000000000001</v>
      </c>
      <c r="F11329" s="3" t="inlineStr">
        <is>
          <t>연기면</t>
        </is>
      </c>
      <c r="G11329" s="3" t="inlineStr">
        <is>
          <t>보통리</t>
        </is>
      </c>
      <c r="H11329" s="3" t="inlineStr">
        <is>
          <t>계획관리지역</t>
        </is>
      </c>
      <c r="I11329" s="3" t="inlineStr">
        <is>
          <t>도로</t>
        </is>
      </c>
      <c r="J11329" s="3" t="inlineStr">
        <is>
          <t>연기면</t>
        </is>
      </c>
    </row>
    <row r="11330">
      <c r="A11330" s="3" t="n">
        <v>2023</v>
      </c>
      <c r="B11330" s="4" t="n">
        <v>15330</v>
      </c>
      <c r="C11330" s="4" t="n">
        <v>1691</v>
      </c>
      <c r="D11330" s="4" t="n">
        <v>511.5275</v>
      </c>
      <c r="E11330" s="5" t="n">
        <v>30</v>
      </c>
      <c r="F11330" s="3" t="inlineStr">
        <is>
          <t>전의면</t>
        </is>
      </c>
      <c r="G11330" s="3" t="inlineStr">
        <is>
          <t>관정리</t>
        </is>
      </c>
      <c r="H11330" s="3" t="inlineStr">
        <is>
          <t>계획관리지역</t>
        </is>
      </c>
      <c r="I11330" s="3" t="inlineStr">
        <is>
          <t>전</t>
        </is>
      </c>
      <c r="J11330" s="3" t="inlineStr">
        <is>
          <t>전의면</t>
        </is>
      </c>
    </row>
    <row r="11331">
      <c r="A11331" s="3" t="n">
        <v>2023</v>
      </c>
      <c r="B11331" s="4" t="n">
        <v>4500</v>
      </c>
      <c r="C11331" s="4" t="n">
        <v>647.6</v>
      </c>
      <c r="D11331" s="4" t="n">
        <v>195.899</v>
      </c>
      <c r="E11331" s="5" t="n">
        <v>23</v>
      </c>
      <c r="F11331" s="3" t="inlineStr">
        <is>
          <t>부강면</t>
        </is>
      </c>
      <c r="G11331" s="3" t="inlineStr">
        <is>
          <t>산수리</t>
        </is>
      </c>
      <c r="H11331" s="3" t="inlineStr">
        <is>
          <t>농림지역</t>
        </is>
      </c>
      <c r="I11331" s="3" t="inlineStr">
        <is>
          <t>답</t>
        </is>
      </c>
      <c r="J11331" s="3" t="inlineStr">
        <is>
          <t>부강면</t>
        </is>
      </c>
    </row>
    <row r="11332">
      <c r="A11332" s="3" t="n">
        <v>2023</v>
      </c>
      <c r="B11332" s="4" t="n">
        <v>5900</v>
      </c>
      <c r="C11332" s="4" t="n">
        <v>851.6</v>
      </c>
      <c r="D11332" s="4" t="n">
        <v>257.609</v>
      </c>
      <c r="E11332" s="5" t="n">
        <v>22.9</v>
      </c>
      <c r="F11332" s="3" t="inlineStr">
        <is>
          <t>부강면</t>
        </is>
      </c>
      <c r="G11332" s="3" t="inlineStr">
        <is>
          <t>산수리</t>
        </is>
      </c>
      <c r="H11332" s="3" t="inlineStr">
        <is>
          <t>농림지역</t>
        </is>
      </c>
      <c r="I11332" s="3" t="inlineStr">
        <is>
          <t>답</t>
        </is>
      </c>
      <c r="J11332" s="3" t="inlineStr">
        <is>
          <t>부강면</t>
        </is>
      </c>
    </row>
    <row r="11333">
      <c r="A11333" s="3" t="n">
        <v>2023</v>
      </c>
      <c r="B11333" s="4" t="n">
        <v>1966</v>
      </c>
      <c r="C11333" s="4" t="n">
        <v>66</v>
      </c>
      <c r="D11333" s="4" t="n">
        <v>19.965</v>
      </c>
      <c r="E11333" s="5" t="n">
        <v>98.5</v>
      </c>
      <c r="F11333" s="3" t="inlineStr">
        <is>
          <t>전의면</t>
        </is>
      </c>
      <c r="G11333" s="3" t="inlineStr">
        <is>
          <t>서정리</t>
        </is>
      </c>
      <c r="H11333" s="3" t="inlineStr">
        <is>
          <t>농림지역</t>
        </is>
      </c>
      <c r="I11333" s="3" t="inlineStr">
        <is>
          <t>대</t>
        </is>
      </c>
      <c r="J11333" s="3" t="inlineStr">
        <is>
          <t>전의면</t>
        </is>
      </c>
    </row>
    <row r="11334">
      <c r="A11334" s="3" t="n">
        <v>2023</v>
      </c>
      <c r="B11334" s="4" t="n">
        <v>1221</v>
      </c>
      <c r="C11334" s="4" t="n">
        <v>41</v>
      </c>
      <c r="D11334" s="4" t="n">
        <v>12.4025</v>
      </c>
      <c r="E11334" s="5" t="n">
        <v>98.40000000000001</v>
      </c>
      <c r="F11334" s="3" t="inlineStr">
        <is>
          <t>전의면</t>
        </is>
      </c>
      <c r="G11334" s="3" t="inlineStr">
        <is>
          <t>서정리</t>
        </is>
      </c>
      <c r="H11334" s="3" t="inlineStr">
        <is>
          <t>계획관리지역</t>
        </is>
      </c>
      <c r="I11334" s="3" t="inlineStr">
        <is>
          <t>대</t>
        </is>
      </c>
      <c r="J11334" s="3" t="inlineStr">
        <is>
          <t>전의면</t>
        </is>
      </c>
    </row>
    <row r="11335">
      <c r="A11335" s="3" t="n">
        <v>2023</v>
      </c>
      <c r="B11335" s="4" t="n">
        <v>13496</v>
      </c>
      <c r="C11335" s="4" t="n">
        <v>453</v>
      </c>
      <c r="D11335" s="4" t="n">
        <v>137.0325</v>
      </c>
      <c r="E11335" s="5" t="n">
        <v>98.5</v>
      </c>
      <c r="F11335" s="3" t="inlineStr">
        <is>
          <t>전의면</t>
        </is>
      </c>
      <c r="G11335" s="3" t="inlineStr">
        <is>
          <t>서정리</t>
        </is>
      </c>
      <c r="H11335" s="3" t="inlineStr">
        <is>
          <t>농림지역</t>
        </is>
      </c>
      <c r="I11335" s="3" t="inlineStr">
        <is>
          <t>대</t>
        </is>
      </c>
      <c r="J11335" s="3" t="inlineStr">
        <is>
          <t>전의면</t>
        </is>
      </c>
    </row>
    <row r="11336">
      <c r="A11336" s="3" t="n">
        <v>2023</v>
      </c>
      <c r="B11336" s="4" t="n">
        <v>12800</v>
      </c>
      <c r="C11336" s="4" t="n">
        <v>53</v>
      </c>
      <c r="D11336" s="4" t="n">
        <v>16.0325</v>
      </c>
      <c r="E11336" s="5" t="n">
        <v>798.4</v>
      </c>
      <c r="F11336" s="3" t="inlineStr">
        <is>
          <t>금남면</t>
        </is>
      </c>
      <c r="G11336" s="3" t="inlineStr">
        <is>
          <t>호탄리</t>
        </is>
      </c>
      <c r="H11336" s="3" t="inlineStr">
        <is>
          <t>제1종일반주거지역</t>
        </is>
      </c>
      <c r="I11336" s="3" t="inlineStr">
        <is>
          <t>대</t>
        </is>
      </c>
      <c r="J11336" s="3" t="inlineStr">
        <is>
          <t>금남면</t>
        </is>
      </c>
    </row>
    <row r="11337">
      <c r="A11337" s="3" t="n">
        <v>2023</v>
      </c>
      <c r="B11337" s="4" t="n">
        <v>6090</v>
      </c>
      <c r="C11337" s="4" t="n">
        <v>2777</v>
      </c>
      <c r="D11337" s="4" t="n">
        <v>840.0425</v>
      </c>
      <c r="E11337" s="5" t="n">
        <v>7.2</v>
      </c>
      <c r="F11337" s="3" t="inlineStr">
        <is>
          <t>연동면</t>
        </is>
      </c>
      <c r="G11337" s="3" t="inlineStr">
        <is>
          <t>명학리</t>
        </is>
      </c>
      <c r="H11337" s="3" t="inlineStr">
        <is>
          <t>보전관리지역</t>
        </is>
      </c>
      <c r="I11337" s="3" t="inlineStr">
        <is>
          <t>임야</t>
        </is>
      </c>
      <c r="J11337" s="3" t="inlineStr">
        <is>
          <t>연동면</t>
        </is>
      </c>
    </row>
    <row r="11338">
      <c r="A11338" s="3" t="n">
        <v>2023</v>
      </c>
      <c r="B11338" s="4" t="n">
        <v>1910</v>
      </c>
      <c r="C11338" s="4" t="n">
        <v>753</v>
      </c>
      <c r="D11338" s="4" t="n">
        <v>227.7825</v>
      </c>
      <c r="E11338" s="5" t="n">
        <v>8.4</v>
      </c>
      <c r="F11338" s="3" t="inlineStr">
        <is>
          <t>연동면</t>
        </is>
      </c>
      <c r="G11338" s="3" t="inlineStr">
        <is>
          <t>명학리</t>
        </is>
      </c>
      <c r="H11338" s="3" t="inlineStr">
        <is>
          <t>보전관리지역</t>
        </is>
      </c>
      <c r="I11338" s="3" t="inlineStr">
        <is>
          <t>임야</t>
        </is>
      </c>
      <c r="J11338" s="3" t="inlineStr">
        <is>
          <t>연동면</t>
        </is>
      </c>
    </row>
    <row r="11339">
      <c r="A11339" s="3" t="n">
        <v>2023</v>
      </c>
      <c r="B11339" s="4" t="n">
        <v>8450</v>
      </c>
      <c r="C11339" s="4" t="n">
        <v>297</v>
      </c>
      <c r="D11339" s="4" t="n">
        <v>89.8425</v>
      </c>
      <c r="E11339" s="5" t="n">
        <v>94.09999999999999</v>
      </c>
      <c r="F11339" s="3" t="inlineStr">
        <is>
          <t>연기면</t>
        </is>
      </c>
      <c r="G11339" s="3" t="inlineStr">
        <is>
          <t>수산리</t>
        </is>
      </c>
      <c r="H11339" s="3" t="inlineStr">
        <is>
          <t>보전관리지역</t>
        </is>
      </c>
      <c r="I11339" s="3" t="inlineStr">
        <is>
          <t>임야</t>
        </is>
      </c>
      <c r="J11339" s="3" t="inlineStr">
        <is>
          <t>연기면</t>
        </is>
      </c>
    </row>
    <row r="11340">
      <c r="A11340" s="3" t="n">
        <v>2023</v>
      </c>
      <c r="B11340" s="4" t="n">
        <v>11040</v>
      </c>
      <c r="C11340" s="4" t="n">
        <v>388</v>
      </c>
      <c r="D11340" s="4" t="n">
        <v>117.37</v>
      </c>
      <c r="E11340" s="5" t="n">
        <v>94.09999999999999</v>
      </c>
      <c r="F11340" s="3" t="inlineStr">
        <is>
          <t>연기면</t>
        </is>
      </c>
      <c r="G11340" s="3" t="inlineStr">
        <is>
          <t>수산리</t>
        </is>
      </c>
      <c r="H11340" s="3" t="inlineStr">
        <is>
          <t>보전관리지역</t>
        </is>
      </c>
      <c r="I11340" s="3" t="inlineStr">
        <is>
          <t>임야</t>
        </is>
      </c>
      <c r="J11340" s="3" t="inlineStr">
        <is>
          <t>연기면</t>
        </is>
      </c>
    </row>
    <row r="11341">
      <c r="A11341" s="3" t="n">
        <v>2023</v>
      </c>
      <c r="B11341" s="4" t="n">
        <v>940</v>
      </c>
      <c r="C11341" s="4" t="n">
        <v>33</v>
      </c>
      <c r="D11341" s="4" t="n">
        <v>9.9825</v>
      </c>
      <c r="E11341" s="5" t="n">
        <v>94.2</v>
      </c>
      <c r="F11341" s="3" t="inlineStr">
        <is>
          <t>연기면</t>
        </is>
      </c>
      <c r="G11341" s="3" t="inlineStr">
        <is>
          <t>수산리</t>
        </is>
      </c>
      <c r="H11341" s="3" t="inlineStr">
        <is>
          <t>보전관리지역</t>
        </is>
      </c>
      <c r="I11341" s="3" t="inlineStr">
        <is>
          <t>임야</t>
        </is>
      </c>
      <c r="J11341" s="3" t="inlineStr">
        <is>
          <t>연기면</t>
        </is>
      </c>
    </row>
    <row r="11342">
      <c r="A11342" s="3" t="n">
        <v>2023</v>
      </c>
      <c r="B11342" s="4" t="n">
        <v>35470</v>
      </c>
      <c r="C11342" s="4" t="n">
        <v>1804</v>
      </c>
      <c r="D11342" s="4" t="n">
        <v>545.71</v>
      </c>
      <c r="E11342" s="5" t="n">
        <v>65</v>
      </c>
      <c r="F11342" s="3" t="inlineStr">
        <is>
          <t>연서면</t>
        </is>
      </c>
      <c r="G11342" s="3" t="inlineStr">
        <is>
          <t>쌍류리</t>
        </is>
      </c>
      <c r="H11342" s="3" t="inlineStr">
        <is>
          <t>생산관리지역</t>
        </is>
      </c>
      <c r="I11342" s="3" t="inlineStr">
        <is>
          <t>전</t>
        </is>
      </c>
      <c r="J11342" s="3" t="inlineStr">
        <is>
          <t>연서면</t>
        </is>
      </c>
    </row>
    <row r="11343">
      <c r="A11343" s="3" t="n">
        <v>2023</v>
      </c>
      <c r="B11343" s="4" t="n">
        <v>500</v>
      </c>
      <c r="C11343" s="4" t="n">
        <v>159</v>
      </c>
      <c r="D11343" s="4" t="n">
        <v>48.0975</v>
      </c>
      <c r="E11343" s="5" t="n">
        <v>10.4</v>
      </c>
      <c r="F11343" s="3" t="inlineStr">
        <is>
          <t>전의면</t>
        </is>
      </c>
      <c r="G11343" s="3" t="inlineStr">
        <is>
          <t>양곡리</t>
        </is>
      </c>
      <c r="H11343" s="3" t="inlineStr">
        <is>
          <t>생산관리지역</t>
        </is>
      </c>
      <c r="I11343" s="3" t="inlineStr">
        <is>
          <t>전</t>
        </is>
      </c>
      <c r="J11343" s="3" t="inlineStr">
        <is>
          <t>전의면</t>
        </is>
      </c>
    </row>
    <row r="11344">
      <c r="A11344" s="3" t="n">
        <v>2023</v>
      </c>
      <c r="B11344" s="4" t="n">
        <v>5000</v>
      </c>
      <c r="C11344" s="4" t="n">
        <v>33</v>
      </c>
      <c r="D11344" s="4" t="n">
        <v>9.9825</v>
      </c>
      <c r="E11344" s="5" t="n">
        <v>500.9</v>
      </c>
      <c r="F11344" s="3" t="inlineStr">
        <is>
          <t>장군면</t>
        </is>
      </c>
      <c r="G11344" s="3" t="inlineStr">
        <is>
          <t>하봉리</t>
        </is>
      </c>
      <c r="H11344" s="3" t="inlineStr">
        <is>
          <t>계획관리지역</t>
        </is>
      </c>
      <c r="I11344" s="3" t="inlineStr">
        <is>
          <t>도로</t>
        </is>
      </c>
      <c r="J11344" s="3" t="inlineStr">
        <is>
          <t>장군면</t>
        </is>
      </c>
    </row>
    <row r="11345">
      <c r="A11345" s="3" t="n">
        <v>2023</v>
      </c>
      <c r="B11345" s="4" t="n">
        <v>44600</v>
      </c>
      <c r="C11345" s="4" t="n">
        <v>1955</v>
      </c>
      <c r="D11345" s="4" t="n">
        <v>591.3874999999999</v>
      </c>
      <c r="E11345" s="5" t="n">
        <v>75.40000000000001</v>
      </c>
      <c r="F11345" s="3" t="inlineStr">
        <is>
          <t>금남면</t>
        </is>
      </c>
      <c r="G11345" s="3" t="inlineStr">
        <is>
          <t>대박리</t>
        </is>
      </c>
      <c r="H11345" s="3" t="inlineStr">
        <is>
          <t>개발제한구역</t>
        </is>
      </c>
      <c r="I11345" s="3" t="inlineStr">
        <is>
          <t>답</t>
        </is>
      </c>
      <c r="J11345" s="3" t="inlineStr">
        <is>
          <t>금남면</t>
        </is>
      </c>
    </row>
    <row r="11346">
      <c r="A11346" s="3" t="n">
        <v>2023</v>
      </c>
      <c r="B11346" s="4" t="n">
        <v>14000</v>
      </c>
      <c r="C11346" s="4" t="n">
        <v>595</v>
      </c>
      <c r="D11346" s="4" t="n">
        <v>179.9875</v>
      </c>
      <c r="E11346" s="5" t="n">
        <v>77.8</v>
      </c>
      <c r="F11346" s="3" t="inlineStr">
        <is>
          <t>금남면</t>
        </is>
      </c>
      <c r="G11346" s="3" t="inlineStr">
        <is>
          <t>대박리</t>
        </is>
      </c>
      <c r="H11346" s="3" t="inlineStr">
        <is>
          <t>개발제한구역</t>
        </is>
      </c>
      <c r="I11346" s="3" t="inlineStr">
        <is>
          <t>답</t>
        </is>
      </c>
      <c r="J11346" s="3" t="inlineStr">
        <is>
          <t>금남면</t>
        </is>
      </c>
    </row>
    <row r="11347">
      <c r="A11347" s="3" t="n">
        <v>2023</v>
      </c>
      <c r="B11347" s="4" t="n">
        <v>2532</v>
      </c>
      <c r="C11347" s="4" t="n">
        <v>650</v>
      </c>
      <c r="D11347" s="4" t="n">
        <v>196.625</v>
      </c>
      <c r="E11347" s="5" t="n">
        <v>12.9</v>
      </c>
      <c r="F11347" s="3" t="inlineStr">
        <is>
          <t>부강면</t>
        </is>
      </c>
      <c r="G11347" s="3" t="inlineStr">
        <is>
          <t>노호리</t>
        </is>
      </c>
      <c r="H11347" s="3" t="inlineStr">
        <is>
          <t>계획관리지역</t>
        </is>
      </c>
      <c r="I11347" s="3" t="inlineStr">
        <is>
          <t>전</t>
        </is>
      </c>
      <c r="J11347" s="3" t="inlineStr">
        <is>
          <t>부강면</t>
        </is>
      </c>
    </row>
    <row r="11348">
      <c r="A11348" s="3" t="n">
        <v>2023</v>
      </c>
      <c r="B11348" s="4" t="n">
        <v>3848</v>
      </c>
      <c r="C11348" s="4" t="n">
        <v>519</v>
      </c>
      <c r="D11348" s="4" t="n">
        <v>156.9975</v>
      </c>
      <c r="E11348" s="5" t="n">
        <v>24.5</v>
      </c>
      <c r="F11348" s="3" t="inlineStr">
        <is>
          <t>부강면</t>
        </is>
      </c>
      <c r="G11348" s="3" t="inlineStr">
        <is>
          <t>노호리</t>
        </is>
      </c>
      <c r="H11348" s="3" t="inlineStr">
        <is>
          <t>계획관리지역</t>
        </is>
      </c>
      <c r="I11348" s="3" t="inlineStr">
        <is>
          <t>대</t>
        </is>
      </c>
      <c r="J11348" s="3" t="inlineStr">
        <is>
          <t>부강면</t>
        </is>
      </c>
    </row>
    <row r="11349">
      <c r="A11349" s="3" t="n">
        <v>2024</v>
      </c>
      <c r="B11349" s="4" t="n">
        <v>23000</v>
      </c>
      <c r="C11349" s="4" t="n">
        <v>617</v>
      </c>
      <c r="D11349" s="4" t="n">
        <v>186.6425</v>
      </c>
      <c r="E11349" s="5" t="n">
        <v>123.2</v>
      </c>
      <c r="F11349" s="3" t="inlineStr">
        <is>
          <t>조치원읍</t>
        </is>
      </c>
      <c r="G11349" s="3" t="inlineStr">
        <is>
          <t>신안리</t>
        </is>
      </c>
      <c r="H11349" s="3" t="inlineStr">
        <is>
          <t>자연녹지지역</t>
        </is>
      </c>
      <c r="I11349" s="3" t="inlineStr">
        <is>
          <t>전</t>
        </is>
      </c>
      <c r="J11349" s="3" t="inlineStr">
        <is>
          <t>조치원읍</t>
        </is>
      </c>
    </row>
    <row r="11350">
      <c r="A11350" s="3" t="n">
        <v>2024</v>
      </c>
      <c r="B11350" s="4" t="n">
        <v>10</v>
      </c>
      <c r="C11350" s="4" t="n">
        <v>1</v>
      </c>
      <c r="D11350" s="4" t="n">
        <v>0.3025</v>
      </c>
      <c r="E11350" s="5" t="n">
        <v>33.1</v>
      </c>
      <c r="F11350" s="3" t="inlineStr">
        <is>
          <t>조치원읍</t>
        </is>
      </c>
      <c r="G11350" s="3" t="inlineStr">
        <is>
          <t>신안리</t>
        </is>
      </c>
      <c r="H11350" s="3" t="inlineStr">
        <is>
          <t>자연녹지지역</t>
        </is>
      </c>
      <c r="I11350" s="3" t="inlineStr">
        <is>
          <t>도로</t>
        </is>
      </c>
      <c r="J11350" s="3" t="inlineStr">
        <is>
          <t>조치원읍</t>
        </is>
      </c>
    </row>
    <row r="11351">
      <c r="A11351" s="3" t="n">
        <v>2024</v>
      </c>
      <c r="B11351" s="4" t="n">
        <v>56000</v>
      </c>
      <c r="C11351" s="4" t="n">
        <v>1409</v>
      </c>
      <c r="D11351" s="4" t="n">
        <v>426.2225</v>
      </c>
      <c r="E11351" s="5" t="n">
        <v>131.4</v>
      </c>
      <c r="F11351" s="3" t="inlineStr">
        <is>
          <t>부강면</t>
        </is>
      </c>
      <c r="G11351" s="3" t="inlineStr">
        <is>
          <t>문곡리</t>
        </is>
      </c>
      <c r="H11351" s="3" t="inlineStr">
        <is>
          <t>계획관리지역</t>
        </is>
      </c>
      <c r="I11351" s="3" t="inlineStr">
        <is>
          <t>전</t>
        </is>
      </c>
      <c r="J11351" s="3" t="inlineStr">
        <is>
          <t>부강면</t>
        </is>
      </c>
    </row>
    <row r="11352">
      <c r="A11352" s="3" t="n">
        <v>2024</v>
      </c>
      <c r="B11352" s="4" t="n">
        <v>16500</v>
      </c>
      <c r="C11352" s="4" t="n">
        <v>236</v>
      </c>
      <c r="D11352" s="4" t="n">
        <v>71.39</v>
      </c>
      <c r="E11352" s="5" t="n">
        <v>231.1</v>
      </c>
      <c r="F11352" s="3" t="inlineStr">
        <is>
          <t>부강면</t>
        </is>
      </c>
      <c r="G11352" s="3" t="inlineStr">
        <is>
          <t>문곡리</t>
        </is>
      </c>
      <c r="H11352" s="3" t="inlineStr">
        <is>
          <t>계획관리지역</t>
        </is>
      </c>
      <c r="I11352" s="3" t="inlineStr">
        <is>
          <t>대</t>
        </is>
      </c>
      <c r="J11352" s="3" t="inlineStr">
        <is>
          <t>부강면</t>
        </is>
      </c>
    </row>
    <row r="11353">
      <c r="A11353" s="3" t="n">
        <v>2024</v>
      </c>
      <c r="B11353" s="4" t="n">
        <v>5650</v>
      </c>
      <c r="C11353" s="4" t="n">
        <v>415</v>
      </c>
      <c r="D11353" s="4" t="n">
        <v>125.5375</v>
      </c>
      <c r="E11353" s="5" t="n">
        <v>45</v>
      </c>
      <c r="F11353" s="3" t="inlineStr">
        <is>
          <t>금남면</t>
        </is>
      </c>
      <c r="G11353" s="3" t="inlineStr">
        <is>
          <t>성강리</t>
        </is>
      </c>
      <c r="H11353" s="3" t="inlineStr">
        <is>
          <t>농림지역</t>
        </is>
      </c>
      <c r="I11353" s="3" t="inlineStr">
        <is>
          <t>답</t>
        </is>
      </c>
      <c r="J11353" s="3" t="inlineStr">
        <is>
          <t>금남면</t>
        </is>
      </c>
    </row>
    <row r="11354">
      <c r="A11354" s="3" t="n">
        <v>2024</v>
      </c>
      <c r="B11354" s="4" t="n">
        <v>35600</v>
      </c>
      <c r="C11354" s="4" t="n">
        <v>467</v>
      </c>
      <c r="D11354" s="4" t="n">
        <v>141.2675</v>
      </c>
      <c r="E11354" s="5" t="n">
        <v>252</v>
      </c>
      <c r="F11354" s="3" t="inlineStr">
        <is>
          <t>장군면</t>
        </is>
      </c>
      <c r="G11354" s="3" t="inlineStr">
        <is>
          <t>산학리</t>
        </is>
      </c>
      <c r="H11354" s="3" t="inlineStr">
        <is>
          <t>보전관리지역</t>
        </is>
      </c>
      <c r="I11354" s="3" t="inlineStr">
        <is>
          <t>대</t>
        </is>
      </c>
      <c r="J11354" s="3" t="inlineStr">
        <is>
          <t>장군면</t>
        </is>
      </c>
    </row>
    <row r="11355">
      <c r="A11355" s="3" t="n">
        <v>2024</v>
      </c>
      <c r="B11355" s="4" t="n">
        <v>40472</v>
      </c>
      <c r="C11355" s="4" t="n">
        <v>463</v>
      </c>
      <c r="D11355" s="4" t="n">
        <v>140.0575</v>
      </c>
      <c r="E11355" s="5" t="n">
        <v>289</v>
      </c>
      <c r="F11355" s="3" t="inlineStr">
        <is>
          <t>장군면</t>
        </is>
      </c>
      <c r="G11355" s="3" t="inlineStr">
        <is>
          <t>산학리</t>
        </is>
      </c>
      <c r="H11355" s="3" t="inlineStr">
        <is>
          <t>보전관리지역</t>
        </is>
      </c>
      <c r="I11355" s="3" t="inlineStr">
        <is>
          <t>대</t>
        </is>
      </c>
      <c r="J11355" s="3" t="inlineStr">
        <is>
          <t>장군면</t>
        </is>
      </c>
    </row>
    <row r="11356">
      <c r="A11356" s="3" t="n">
        <v>2024</v>
      </c>
      <c r="B11356" s="4" t="n">
        <v>34480</v>
      </c>
      <c r="C11356" s="4" t="n">
        <v>452</v>
      </c>
      <c r="D11356" s="4" t="n">
        <v>136.73</v>
      </c>
      <c r="E11356" s="5" t="n">
        <v>252.2</v>
      </c>
      <c r="F11356" s="3" t="inlineStr">
        <is>
          <t>장군면</t>
        </is>
      </c>
      <c r="G11356" s="3" t="inlineStr">
        <is>
          <t>산학리</t>
        </is>
      </c>
      <c r="H11356" s="3" t="inlineStr">
        <is>
          <t>보전관리지역</t>
        </is>
      </c>
      <c r="I11356" s="3" t="inlineStr">
        <is>
          <t>대</t>
        </is>
      </c>
      <c r="J11356" s="3" t="inlineStr">
        <is>
          <t>장군면</t>
        </is>
      </c>
    </row>
    <row r="11357">
      <c r="A11357" s="3" t="n">
        <v>2022</v>
      </c>
      <c r="B11357" s="4" t="n">
        <v>17500</v>
      </c>
      <c r="C11357" s="4" t="n">
        <v>477</v>
      </c>
      <c r="D11357" s="4" t="n">
        <v>144.2925</v>
      </c>
      <c r="E11357" s="5" t="n">
        <v>121.3</v>
      </c>
      <c r="F11357" s="3" t="inlineStr">
        <is>
          <t>연서면</t>
        </is>
      </c>
      <c r="G11357" s="3" t="inlineStr">
        <is>
          <t>쌍류리</t>
        </is>
      </c>
      <c r="H11357" s="3" t="inlineStr">
        <is>
          <t>생산관리지역</t>
        </is>
      </c>
      <c r="I11357" s="3" t="inlineStr">
        <is>
          <t>전</t>
        </is>
      </c>
      <c r="J11357" s="3" t="inlineStr">
        <is>
          <t>연서면</t>
        </is>
      </c>
    </row>
    <row r="11358">
      <c r="A11358" s="3" t="n">
        <v>2022</v>
      </c>
      <c r="B11358" s="4" t="n">
        <v>16000</v>
      </c>
      <c r="C11358" s="4" t="n">
        <v>231</v>
      </c>
      <c r="D11358" s="4" t="n">
        <v>69.8775</v>
      </c>
      <c r="E11358" s="5" t="n">
        <v>229</v>
      </c>
      <c r="F11358" s="3" t="inlineStr">
        <is>
          <t>연서면</t>
        </is>
      </c>
      <c r="G11358" s="3" t="inlineStr">
        <is>
          <t>국촌리</t>
        </is>
      </c>
      <c r="H11358" s="3" t="inlineStr">
        <is>
          <t>계획관리지역</t>
        </is>
      </c>
      <c r="I11358" s="3" t="inlineStr">
        <is>
          <t>대</t>
        </is>
      </c>
      <c r="J11358" s="3" t="inlineStr">
        <is>
          <t>연서면</t>
        </is>
      </c>
    </row>
    <row r="11359">
      <c r="A11359" s="3" t="n">
        <v>2022</v>
      </c>
      <c r="B11359" s="4" t="n">
        <v>14500</v>
      </c>
      <c r="C11359" s="4" t="n">
        <v>936.6</v>
      </c>
      <c r="D11359" s="4" t="n">
        <v>283.3215</v>
      </c>
      <c r="E11359" s="5" t="n">
        <v>51.2</v>
      </c>
      <c r="F11359" s="3" t="inlineStr">
        <is>
          <t>연서면</t>
        </is>
      </c>
      <c r="G11359" s="3" t="inlineStr">
        <is>
          <t>청라리</t>
        </is>
      </c>
      <c r="H11359" s="3" t="inlineStr">
        <is>
          <t>계획관리지역</t>
        </is>
      </c>
      <c r="I11359" s="3" t="inlineStr">
        <is>
          <t>과수원</t>
        </is>
      </c>
      <c r="J11359" s="3" t="inlineStr">
        <is>
          <t>연서면</t>
        </is>
      </c>
    </row>
    <row r="11360">
      <c r="A11360" s="3" t="n">
        <v>2022</v>
      </c>
      <c r="B11360" s="4" t="n">
        <v>45000</v>
      </c>
      <c r="C11360" s="4" t="n">
        <v>345</v>
      </c>
      <c r="D11360" s="4" t="n">
        <v>104.3625</v>
      </c>
      <c r="E11360" s="5" t="n">
        <v>431.2</v>
      </c>
      <c r="F11360" s="3" t="inlineStr">
        <is>
          <t>부강면</t>
        </is>
      </c>
      <c r="G11360" s="3" t="inlineStr">
        <is>
          <t>부강리</t>
        </is>
      </c>
      <c r="H11360" s="3" t="inlineStr">
        <is>
          <t>제2종일반주거지역</t>
        </is>
      </c>
      <c r="I11360" s="3" t="inlineStr">
        <is>
          <t>대</t>
        </is>
      </c>
      <c r="J11360" s="3" t="inlineStr">
        <is>
          <t>부강면</t>
        </is>
      </c>
    </row>
    <row r="11361">
      <c r="A11361" s="3" t="n">
        <v>2022</v>
      </c>
      <c r="B11361" s="4" t="n">
        <v>7865</v>
      </c>
      <c r="C11361" s="4" t="n">
        <v>165</v>
      </c>
      <c r="D11361" s="4" t="n">
        <v>49.9125</v>
      </c>
      <c r="E11361" s="5" t="n">
        <v>157.6</v>
      </c>
      <c r="F11361" s="3" t="inlineStr">
        <is>
          <t>전동면</t>
        </is>
      </c>
      <c r="G11361" s="3" t="inlineStr">
        <is>
          <t>석곡리</t>
        </is>
      </c>
      <c r="H11361" s="3" t="inlineStr">
        <is>
          <t>계획관리지역</t>
        </is>
      </c>
      <c r="I11361" s="3" t="inlineStr">
        <is>
          <t>대</t>
        </is>
      </c>
      <c r="J11361" s="3" t="inlineStr">
        <is>
          <t>전동면</t>
        </is>
      </c>
    </row>
    <row r="11362">
      <c r="A11362" s="3" t="n">
        <v>2022</v>
      </c>
      <c r="B11362" s="4" t="n">
        <v>22421</v>
      </c>
      <c r="C11362" s="4" t="n">
        <v>595</v>
      </c>
      <c r="D11362" s="4" t="n">
        <v>179.9875</v>
      </c>
      <c r="E11362" s="5" t="n">
        <v>124.6</v>
      </c>
      <c r="F11362" s="3" t="inlineStr">
        <is>
          <t>전동면</t>
        </is>
      </c>
      <c r="G11362" s="3" t="inlineStr">
        <is>
          <t>석곡리</t>
        </is>
      </c>
      <c r="H11362" s="3" t="inlineStr">
        <is>
          <t>계획관리지역</t>
        </is>
      </c>
      <c r="I11362" s="3" t="inlineStr">
        <is>
          <t>대</t>
        </is>
      </c>
      <c r="J11362" s="3" t="inlineStr">
        <is>
          <t>전동면</t>
        </is>
      </c>
    </row>
    <row r="11363">
      <c r="A11363" s="3" t="n">
        <v>2022</v>
      </c>
      <c r="B11363" s="4" t="n">
        <v>39714</v>
      </c>
      <c r="C11363" s="4" t="n">
        <v>783</v>
      </c>
      <c r="D11363" s="4" t="n">
        <v>236.8575</v>
      </c>
      <c r="E11363" s="5" t="n">
        <v>167.7</v>
      </c>
      <c r="F11363" s="3" t="inlineStr">
        <is>
          <t>전동면</t>
        </is>
      </c>
      <c r="G11363" s="3" t="inlineStr">
        <is>
          <t>석곡리</t>
        </is>
      </c>
      <c r="H11363" s="3" t="inlineStr">
        <is>
          <t>계획관리지역</t>
        </is>
      </c>
      <c r="I11363" s="3" t="inlineStr">
        <is>
          <t>대</t>
        </is>
      </c>
      <c r="J11363" s="3" t="inlineStr">
        <is>
          <t>전동면</t>
        </is>
      </c>
    </row>
    <row r="11364">
      <c r="A11364" s="3" t="n">
        <v>2022</v>
      </c>
      <c r="B11364" s="4" t="n">
        <v>35000</v>
      </c>
      <c r="C11364" s="4" t="n">
        <v>1150</v>
      </c>
      <c r="D11364" s="4" t="n">
        <v>347.875</v>
      </c>
      <c r="E11364" s="5" t="n">
        <v>100.6</v>
      </c>
      <c r="F11364" s="3" t="inlineStr">
        <is>
          <t>전동면</t>
        </is>
      </c>
      <c r="G11364" s="3" t="inlineStr">
        <is>
          <t>석곡리</t>
        </is>
      </c>
      <c r="H11364" s="3" t="inlineStr">
        <is>
          <t>보전관리지역</t>
        </is>
      </c>
      <c r="I11364" s="3" t="inlineStr">
        <is>
          <t>임야</t>
        </is>
      </c>
      <c r="J11364" s="3" t="inlineStr">
        <is>
          <t>전동면</t>
        </is>
      </c>
    </row>
    <row r="11365">
      <c r="A11365" s="3" t="n">
        <v>2022</v>
      </c>
      <c r="B11365" s="4" t="n">
        <v>74000</v>
      </c>
      <c r="C11365" s="4" t="n">
        <v>3064</v>
      </c>
      <c r="D11365" s="4" t="n">
        <v>926.86</v>
      </c>
      <c r="E11365" s="5" t="n">
        <v>79.8</v>
      </c>
      <c r="F11365" s="3" t="inlineStr">
        <is>
          <t>금남면</t>
        </is>
      </c>
      <c r="G11365" s="3" t="inlineStr">
        <is>
          <t>원봉리</t>
        </is>
      </c>
      <c r="H11365" s="3" t="inlineStr">
        <is>
          <t>계획관리지역</t>
        </is>
      </c>
      <c r="I11365" s="3" t="inlineStr">
        <is>
          <t>답</t>
        </is>
      </c>
      <c r="J11365" s="3" t="inlineStr">
        <is>
          <t>금남면</t>
        </is>
      </c>
    </row>
    <row r="11366">
      <c r="A11366" s="3" t="n">
        <v>2022</v>
      </c>
      <c r="B11366" s="4" t="n">
        <v>110000</v>
      </c>
      <c r="C11366" s="4" t="n">
        <v>58897</v>
      </c>
      <c r="D11366" s="4" t="n">
        <v>17816.3425</v>
      </c>
      <c r="E11366" s="5" t="n">
        <v>6.2</v>
      </c>
      <c r="F11366" s="3" t="inlineStr">
        <is>
          <t>연서면</t>
        </is>
      </c>
      <c r="G11366" s="3" t="inlineStr">
        <is>
          <t>쌍류리</t>
        </is>
      </c>
      <c r="H11366" s="3" t="inlineStr">
        <is>
          <t>농림지역</t>
        </is>
      </c>
      <c r="I11366" s="3" t="inlineStr">
        <is>
          <t>임야</t>
        </is>
      </c>
      <c r="J11366" s="3" t="inlineStr">
        <is>
          <t>연서면</t>
        </is>
      </c>
    </row>
    <row r="11367">
      <c r="A11367" s="3" t="n">
        <v>2022</v>
      </c>
      <c r="B11367" s="4" t="n">
        <v>2731</v>
      </c>
      <c r="C11367" s="4" t="n">
        <v>863</v>
      </c>
      <c r="D11367" s="4" t="n">
        <v>261.0575</v>
      </c>
      <c r="E11367" s="5" t="n">
        <v>10.5</v>
      </c>
      <c r="F11367" s="3" t="inlineStr">
        <is>
          <t>연서면</t>
        </is>
      </c>
      <c r="G11367" s="3" t="inlineStr">
        <is>
          <t>쌍류리</t>
        </is>
      </c>
      <c r="H11367" s="3" t="inlineStr">
        <is>
          <t>생산관리지역</t>
        </is>
      </c>
      <c r="I11367" s="3" t="inlineStr">
        <is>
          <t>과수원</t>
        </is>
      </c>
      <c r="J11367" s="3" t="inlineStr">
        <is>
          <t>연서면</t>
        </is>
      </c>
    </row>
    <row r="11368">
      <c r="A11368" s="3" t="n">
        <v>2022</v>
      </c>
      <c r="B11368" s="4" t="n">
        <v>2269</v>
      </c>
      <c r="C11368" s="4" t="n">
        <v>717</v>
      </c>
      <c r="D11368" s="4" t="n">
        <v>216.8925</v>
      </c>
      <c r="E11368" s="5" t="n">
        <v>10.5</v>
      </c>
      <c r="F11368" s="3" t="inlineStr">
        <is>
          <t>연서면</t>
        </is>
      </c>
      <c r="G11368" s="3" t="inlineStr">
        <is>
          <t>쌍류리</t>
        </is>
      </c>
      <c r="H11368" s="3" t="inlineStr">
        <is>
          <t>생산관리지역</t>
        </is>
      </c>
      <c r="I11368" s="3" t="inlineStr">
        <is>
          <t>전</t>
        </is>
      </c>
      <c r="J11368" s="3" t="inlineStr">
        <is>
          <t>연서면</t>
        </is>
      </c>
    </row>
    <row r="11369">
      <c r="A11369" s="3" t="n">
        <v>2022</v>
      </c>
      <c r="B11369" s="4" t="n">
        <v>50000</v>
      </c>
      <c r="C11369" s="4" t="n">
        <v>660</v>
      </c>
      <c r="D11369" s="4" t="n">
        <v>199.65</v>
      </c>
      <c r="E11369" s="5" t="n">
        <v>250.4</v>
      </c>
      <c r="F11369" s="3" t="inlineStr">
        <is>
          <t>부강면</t>
        </is>
      </c>
      <c r="G11369" s="3" t="inlineStr">
        <is>
          <t>금호리</t>
        </is>
      </c>
      <c r="H11369" s="3" t="inlineStr">
        <is>
          <t>계획관리지역</t>
        </is>
      </c>
      <c r="I11369" s="3" t="inlineStr">
        <is>
          <t>전</t>
        </is>
      </c>
      <c r="J11369" s="3" t="inlineStr">
        <is>
          <t>부강면</t>
        </is>
      </c>
    </row>
    <row r="11370">
      <c r="A11370" s="3" t="n">
        <v>2022</v>
      </c>
      <c r="B11370" s="4" t="n">
        <v>5000</v>
      </c>
      <c r="C11370" s="4" t="n">
        <v>193</v>
      </c>
      <c r="D11370" s="4" t="n">
        <v>58.3825</v>
      </c>
      <c r="E11370" s="5" t="n">
        <v>85.59999999999999</v>
      </c>
      <c r="F11370" s="3" t="inlineStr">
        <is>
          <t>부강면</t>
        </is>
      </c>
      <c r="G11370" s="3" t="inlineStr">
        <is>
          <t>금호리</t>
        </is>
      </c>
      <c r="H11370" s="3" t="inlineStr">
        <is>
          <t>계획관리지역</t>
        </is>
      </c>
      <c r="I11370" s="3" t="inlineStr">
        <is>
          <t>임야</t>
        </is>
      </c>
      <c r="J11370" s="3" t="inlineStr">
        <is>
          <t>부강면</t>
        </is>
      </c>
    </row>
    <row r="11371">
      <c r="A11371" s="3" t="n">
        <v>2022</v>
      </c>
      <c r="B11371" s="4" t="n">
        <v>154000</v>
      </c>
      <c r="C11371" s="4" t="n">
        <v>5716</v>
      </c>
      <c r="D11371" s="4" t="n">
        <v>1729.09</v>
      </c>
      <c r="E11371" s="5" t="n">
        <v>89.09999999999999</v>
      </c>
      <c r="F11371" s="3" t="inlineStr">
        <is>
          <t>연서면</t>
        </is>
      </c>
      <c r="G11371" s="3" t="inlineStr">
        <is>
          <t>쌍류리</t>
        </is>
      </c>
      <c r="H11371" s="3" t="inlineStr">
        <is>
          <t>생산관리지역</t>
        </is>
      </c>
      <c r="I11371" s="3" t="inlineStr">
        <is>
          <t>답</t>
        </is>
      </c>
      <c r="J11371" s="3" t="inlineStr">
        <is>
          <t>연서면</t>
        </is>
      </c>
    </row>
    <row r="11372">
      <c r="A11372" s="3" t="n">
        <v>2022</v>
      </c>
      <c r="B11372" s="4" t="n">
        <v>38480</v>
      </c>
      <c r="C11372" s="4" t="n">
        <v>1590</v>
      </c>
      <c r="D11372" s="4" t="n">
        <v>480.975</v>
      </c>
      <c r="E11372" s="5" t="n">
        <v>80</v>
      </c>
      <c r="F11372" s="3" t="inlineStr">
        <is>
          <t>연서면</t>
        </is>
      </c>
      <c r="G11372" s="3" t="inlineStr">
        <is>
          <t>쌍류리</t>
        </is>
      </c>
      <c r="H11372" s="3" t="inlineStr">
        <is>
          <t>생산관리지역</t>
        </is>
      </c>
      <c r="I11372" s="3" t="inlineStr">
        <is>
          <t>전</t>
        </is>
      </c>
      <c r="J11372" s="3" t="inlineStr">
        <is>
          <t>연서면</t>
        </is>
      </c>
    </row>
    <row r="11373">
      <c r="A11373" s="3" t="n">
        <v>2022</v>
      </c>
      <c r="B11373" s="4" t="n">
        <v>57800</v>
      </c>
      <c r="C11373" s="4" t="n">
        <v>2734</v>
      </c>
      <c r="D11373" s="4" t="n">
        <v>827.035</v>
      </c>
      <c r="E11373" s="5" t="n">
        <v>69.90000000000001</v>
      </c>
      <c r="F11373" s="3" t="inlineStr">
        <is>
          <t>연서면</t>
        </is>
      </c>
      <c r="G11373" s="3" t="inlineStr">
        <is>
          <t>쌍류리</t>
        </is>
      </c>
      <c r="H11373" s="3" t="inlineStr">
        <is>
          <t>생산관리지역</t>
        </is>
      </c>
      <c r="I11373" s="3" t="inlineStr">
        <is>
          <t>전</t>
        </is>
      </c>
      <c r="J11373" s="3" t="inlineStr">
        <is>
          <t>연서면</t>
        </is>
      </c>
    </row>
    <row r="11374">
      <c r="A11374" s="3" t="n">
        <v>2022</v>
      </c>
      <c r="B11374" s="4" t="n">
        <v>29780</v>
      </c>
      <c r="C11374" s="4" t="n">
        <v>457</v>
      </c>
      <c r="D11374" s="4" t="n">
        <v>138.2425</v>
      </c>
      <c r="E11374" s="5" t="n">
        <v>215.4</v>
      </c>
      <c r="F11374" s="3" t="inlineStr">
        <is>
          <t>연기면</t>
        </is>
      </c>
      <c r="G11374" s="3" t="inlineStr">
        <is>
          <t>수산리</t>
        </is>
      </c>
      <c r="H11374" s="3" t="inlineStr">
        <is>
          <t>계획관리지역</t>
        </is>
      </c>
      <c r="I11374" s="3" t="inlineStr">
        <is>
          <t>대</t>
        </is>
      </c>
      <c r="J11374" s="3" t="inlineStr">
        <is>
          <t>연기면</t>
        </is>
      </c>
    </row>
    <row r="11375">
      <c r="A11375" s="3" t="n">
        <v>2022</v>
      </c>
      <c r="B11375" s="4" t="n">
        <v>19060</v>
      </c>
      <c r="C11375" s="4" t="n">
        <v>700</v>
      </c>
      <c r="D11375" s="4" t="n">
        <v>211.75</v>
      </c>
      <c r="E11375" s="5" t="n">
        <v>90</v>
      </c>
      <c r="F11375" s="3" t="inlineStr">
        <is>
          <t>연동면</t>
        </is>
      </c>
      <c r="G11375" s="3" t="inlineStr">
        <is>
          <t>명학리</t>
        </is>
      </c>
      <c r="H11375" s="3" t="inlineStr">
        <is>
          <t>계획관리지역</t>
        </is>
      </c>
      <c r="I11375" s="3" t="inlineStr">
        <is>
          <t>전</t>
        </is>
      </c>
      <c r="J11375" s="3" t="inlineStr">
        <is>
          <t>연동면</t>
        </is>
      </c>
    </row>
    <row r="11376">
      <c r="A11376" s="3" t="n">
        <v>2022</v>
      </c>
      <c r="B11376" s="4" t="n">
        <v>400000</v>
      </c>
      <c r="C11376" s="4" t="n">
        <v>5929</v>
      </c>
      <c r="D11376" s="4" t="n">
        <v>1793.5225</v>
      </c>
      <c r="E11376" s="5" t="n">
        <v>223</v>
      </c>
      <c r="F11376" s="3" t="inlineStr">
        <is>
          <t>연동면</t>
        </is>
      </c>
      <c r="G11376" s="3" t="inlineStr">
        <is>
          <t>내판리</t>
        </is>
      </c>
      <c r="H11376" s="3" t="inlineStr">
        <is>
          <t>계획관리지역</t>
        </is>
      </c>
      <c r="I11376" s="3" t="inlineStr">
        <is>
          <t>과수원</t>
        </is>
      </c>
      <c r="J11376" s="3" t="inlineStr">
        <is>
          <t>연동면</t>
        </is>
      </c>
    </row>
    <row r="11377">
      <c r="A11377" s="3" t="n">
        <v>2022</v>
      </c>
      <c r="B11377" s="4" t="n">
        <v>30000</v>
      </c>
      <c r="C11377" s="4" t="n">
        <v>336</v>
      </c>
      <c r="D11377" s="4" t="n">
        <v>101.64</v>
      </c>
      <c r="E11377" s="5" t="n">
        <v>295.2</v>
      </c>
      <c r="F11377" s="3" t="inlineStr">
        <is>
          <t>연동면</t>
        </is>
      </c>
      <c r="G11377" s="3" t="inlineStr">
        <is>
          <t>내판리</t>
        </is>
      </c>
      <c r="H11377" s="3" t="inlineStr">
        <is>
          <t>계획관리지역</t>
        </is>
      </c>
      <c r="I11377" s="3" t="inlineStr">
        <is>
          <t>대</t>
        </is>
      </c>
      <c r="J11377" s="3" t="inlineStr">
        <is>
          <t>연동면</t>
        </is>
      </c>
    </row>
    <row r="11378">
      <c r="A11378" s="3" t="n">
        <v>2022</v>
      </c>
      <c r="B11378" s="4" t="n">
        <v>60000</v>
      </c>
      <c r="C11378" s="4" t="n">
        <v>19736</v>
      </c>
      <c r="D11378" s="4" t="n">
        <v>5970.139999999999</v>
      </c>
      <c r="E11378" s="5" t="n">
        <v>10.1</v>
      </c>
      <c r="F11378" s="3" t="inlineStr">
        <is>
          <t>전동면</t>
        </is>
      </c>
      <c r="G11378" s="3" t="inlineStr">
        <is>
          <t>봉대리</t>
        </is>
      </c>
      <c r="H11378" s="3" t="inlineStr">
        <is>
          <t>보전관리지역</t>
        </is>
      </c>
      <c r="I11378" s="3" t="inlineStr">
        <is>
          <t>임야</t>
        </is>
      </c>
      <c r="J11378" s="3" t="inlineStr">
        <is>
          <t>전동면</t>
        </is>
      </c>
    </row>
    <row r="11379">
      <c r="A11379" s="3" t="n">
        <v>2022</v>
      </c>
      <c r="B11379" s="4" t="n">
        <v>16000</v>
      </c>
      <c r="C11379" s="4" t="n">
        <v>2083</v>
      </c>
      <c r="D11379" s="4" t="n">
        <v>630.1075</v>
      </c>
      <c r="E11379" s="5" t="n">
        <v>25.4</v>
      </c>
      <c r="F11379" s="3" t="inlineStr">
        <is>
          <t>전의면</t>
        </is>
      </c>
      <c r="G11379" s="3" t="inlineStr">
        <is>
          <t>신방리</t>
        </is>
      </c>
      <c r="H11379" s="3" t="inlineStr">
        <is>
          <t>농림지역</t>
        </is>
      </c>
      <c r="I11379" s="3" t="inlineStr">
        <is>
          <t>답</t>
        </is>
      </c>
      <c r="J11379" s="3" t="inlineStr">
        <is>
          <t>전의면</t>
        </is>
      </c>
    </row>
    <row r="11380">
      <c r="A11380" s="3" t="n">
        <v>2022</v>
      </c>
      <c r="B11380" s="4" t="n">
        <v>1046</v>
      </c>
      <c r="C11380" s="4" t="n">
        <v>330</v>
      </c>
      <c r="D11380" s="4" t="n">
        <v>99.825</v>
      </c>
      <c r="E11380" s="5" t="n">
        <v>10.5</v>
      </c>
      <c r="F11380" s="3" t="inlineStr">
        <is>
          <t>장군면</t>
        </is>
      </c>
      <c r="G11380" s="3" t="inlineStr">
        <is>
          <t>산학리</t>
        </is>
      </c>
      <c r="H11380" s="3" t="inlineStr">
        <is>
          <t>농림지역</t>
        </is>
      </c>
      <c r="I11380" s="3" t="inlineStr">
        <is>
          <t>임야</t>
        </is>
      </c>
      <c r="J11380" s="3" t="inlineStr">
        <is>
          <t>장군면</t>
        </is>
      </c>
    </row>
    <row r="11381">
      <c r="A11381" s="3" t="n">
        <v>2022</v>
      </c>
      <c r="B11381" s="4" t="n">
        <v>2500</v>
      </c>
      <c r="C11381" s="4" t="n">
        <v>129</v>
      </c>
      <c r="D11381" s="4" t="n">
        <v>39.0225</v>
      </c>
      <c r="E11381" s="5" t="n">
        <v>64.09999999999999</v>
      </c>
      <c r="F11381" s="3" t="inlineStr">
        <is>
          <t>연동면</t>
        </is>
      </c>
      <c r="G11381" s="3" t="inlineStr">
        <is>
          <t>응암리</t>
        </is>
      </c>
      <c r="H11381" s="3" t="inlineStr">
        <is>
          <t>계획관리지역</t>
        </is>
      </c>
      <c r="I11381" s="3" t="inlineStr">
        <is>
          <t>대</t>
        </is>
      </c>
      <c r="J11381" s="3" t="inlineStr">
        <is>
          <t>연동면</t>
        </is>
      </c>
    </row>
    <row r="11382">
      <c r="A11382" s="3" t="n">
        <v>2022</v>
      </c>
      <c r="B11382" s="4" t="n">
        <v>29000</v>
      </c>
      <c r="C11382" s="4" t="n">
        <v>408</v>
      </c>
      <c r="D11382" s="4" t="n">
        <v>123.42</v>
      </c>
      <c r="E11382" s="5" t="n">
        <v>235</v>
      </c>
      <c r="F11382" s="3" t="inlineStr">
        <is>
          <t>장군면</t>
        </is>
      </c>
      <c r="G11382" s="3" t="inlineStr">
        <is>
          <t>대교리</t>
        </is>
      </c>
      <c r="H11382" s="3" t="inlineStr">
        <is>
          <t>계획관리지역</t>
        </is>
      </c>
      <c r="I11382" s="3" t="inlineStr">
        <is>
          <t>임야</t>
        </is>
      </c>
      <c r="J11382" s="3" t="inlineStr">
        <is>
          <t>장군면</t>
        </is>
      </c>
    </row>
    <row r="11383">
      <c r="A11383" s="3" t="n">
        <v>2022</v>
      </c>
      <c r="B11383" s="4" t="n">
        <v>3726</v>
      </c>
      <c r="C11383" s="4" t="n">
        <v>51</v>
      </c>
      <c r="D11383" s="4" t="n">
        <v>15.4275</v>
      </c>
      <c r="E11383" s="5" t="n">
        <v>241.5</v>
      </c>
      <c r="F11383" s="3" t="inlineStr">
        <is>
          <t>장군면</t>
        </is>
      </c>
      <c r="G11383" s="3" t="inlineStr">
        <is>
          <t>대교리</t>
        </is>
      </c>
      <c r="H11383" s="3" t="inlineStr">
        <is>
          <t>계획관리지역</t>
        </is>
      </c>
      <c r="I11383" s="3" t="inlineStr">
        <is>
          <t>전</t>
        </is>
      </c>
      <c r="J11383" s="3" t="inlineStr">
        <is>
          <t>장군면</t>
        </is>
      </c>
    </row>
    <row r="11384">
      <c r="A11384" s="3" t="n">
        <v>2022</v>
      </c>
      <c r="B11384" s="4" t="n">
        <v>455</v>
      </c>
      <c r="C11384" s="4" t="n">
        <v>52</v>
      </c>
      <c r="D11384" s="4" t="n">
        <v>15.73</v>
      </c>
      <c r="E11384" s="5" t="n">
        <v>28.9</v>
      </c>
      <c r="F11384" s="3" t="inlineStr">
        <is>
          <t>금남면</t>
        </is>
      </c>
      <c r="G11384" s="3" t="inlineStr">
        <is>
          <t>봉암리</t>
        </is>
      </c>
      <c r="H11384" s="3" t="inlineStr">
        <is>
          <t>자연녹지지역</t>
        </is>
      </c>
      <c r="I11384" s="3" t="inlineStr">
        <is>
          <t>답</t>
        </is>
      </c>
      <c r="J11384" s="3" t="inlineStr">
        <is>
          <t>금남면</t>
        </is>
      </c>
    </row>
    <row r="11385">
      <c r="A11385" s="3" t="n">
        <v>2022</v>
      </c>
      <c r="B11385" s="4" t="n">
        <v>650</v>
      </c>
      <c r="C11385" s="4" t="n">
        <v>322</v>
      </c>
      <c r="D11385" s="4" t="n">
        <v>97.405</v>
      </c>
      <c r="E11385" s="5" t="n">
        <v>6.7</v>
      </c>
      <c r="F11385" s="3" t="inlineStr">
        <is>
          <t>금남면</t>
        </is>
      </c>
      <c r="G11385" s="3" t="inlineStr">
        <is>
          <t>봉암리</t>
        </is>
      </c>
      <c r="H11385" s="3" t="inlineStr">
        <is>
          <t>자연녹지지역</t>
        </is>
      </c>
      <c r="I11385" s="3" t="inlineStr">
        <is>
          <t>답</t>
        </is>
      </c>
      <c r="J11385" s="3" t="inlineStr">
        <is>
          <t>금남면</t>
        </is>
      </c>
    </row>
    <row r="11386">
      <c r="A11386" s="3" t="n">
        <v>2022</v>
      </c>
      <c r="B11386" s="4" t="n">
        <v>4000</v>
      </c>
      <c r="C11386" s="4" t="n">
        <v>296</v>
      </c>
      <c r="D11386" s="4" t="n">
        <v>89.53999999999999</v>
      </c>
      <c r="E11386" s="5" t="n">
        <v>44.7</v>
      </c>
      <c r="F11386" s="3" t="inlineStr">
        <is>
          <t>금남면</t>
        </is>
      </c>
      <c r="G11386" s="3" t="inlineStr">
        <is>
          <t>원봉리</t>
        </is>
      </c>
      <c r="H11386" s="3" t="inlineStr">
        <is>
          <t>생산관리지역</t>
        </is>
      </c>
      <c r="I11386" s="3" t="inlineStr">
        <is>
          <t>답</t>
        </is>
      </c>
      <c r="J11386" s="3" t="inlineStr">
        <is>
          <t>금남면</t>
        </is>
      </c>
    </row>
    <row r="11387">
      <c r="A11387" s="3" t="n">
        <v>2023</v>
      </c>
      <c r="B11387" s="4" t="n">
        <v>1794</v>
      </c>
      <c r="C11387" s="4" t="n">
        <v>635</v>
      </c>
      <c r="D11387" s="4" t="n">
        <v>192.0875</v>
      </c>
      <c r="E11387" s="5" t="n">
        <v>9.300000000000001</v>
      </c>
      <c r="F11387" s="3" t="inlineStr">
        <is>
          <t>부강면</t>
        </is>
      </c>
      <c r="G11387" s="3" t="inlineStr">
        <is>
          <t>노호리</t>
        </is>
      </c>
      <c r="H11387" s="3" t="inlineStr">
        <is>
          <t>보전관리지역</t>
        </is>
      </c>
      <c r="I11387" s="3" t="inlineStr">
        <is>
          <t>묘지</t>
        </is>
      </c>
      <c r="J11387" s="3" t="inlineStr">
        <is>
          <t>부강면</t>
        </is>
      </c>
    </row>
    <row r="11388">
      <c r="A11388" s="3" t="n">
        <v>2023</v>
      </c>
      <c r="B11388" s="4" t="n">
        <v>4545</v>
      </c>
      <c r="C11388" s="4" t="n">
        <v>1003</v>
      </c>
      <c r="D11388" s="4" t="n">
        <v>303.4075</v>
      </c>
      <c r="E11388" s="5" t="n">
        <v>15</v>
      </c>
      <c r="F11388" s="3" t="inlineStr">
        <is>
          <t>부강면</t>
        </is>
      </c>
      <c r="G11388" s="3" t="inlineStr">
        <is>
          <t>노호리</t>
        </is>
      </c>
      <c r="H11388" s="3" t="inlineStr">
        <is>
          <t>계획관리지역</t>
        </is>
      </c>
      <c r="I11388" s="3" t="inlineStr">
        <is>
          <t>전</t>
        </is>
      </c>
      <c r="J11388" s="3" t="inlineStr">
        <is>
          <t>부강면</t>
        </is>
      </c>
    </row>
    <row r="11389">
      <c r="A11389" s="3" t="n">
        <v>2023</v>
      </c>
      <c r="B11389" s="4" t="n">
        <v>14000</v>
      </c>
      <c r="C11389" s="4" t="n">
        <v>700</v>
      </c>
      <c r="D11389" s="4" t="n">
        <v>211.75</v>
      </c>
      <c r="E11389" s="5" t="n">
        <v>66.09999999999999</v>
      </c>
      <c r="F11389" s="3" t="inlineStr">
        <is>
          <t>연서면</t>
        </is>
      </c>
      <c r="G11389" s="3" t="inlineStr">
        <is>
          <t>기룡리</t>
        </is>
      </c>
      <c r="H11389" s="3" t="inlineStr">
        <is>
          <t>계획관리지역</t>
        </is>
      </c>
      <c r="I11389" s="3" t="inlineStr">
        <is>
          <t>대</t>
        </is>
      </c>
      <c r="J11389" s="3" t="inlineStr">
        <is>
          <t>연서면</t>
        </is>
      </c>
    </row>
    <row r="11390">
      <c r="A11390" s="3" t="n">
        <v>2023</v>
      </c>
      <c r="B11390" s="4" t="n">
        <v>170500</v>
      </c>
      <c r="C11390" s="4" t="n">
        <v>342.2</v>
      </c>
      <c r="D11390" s="4" t="n">
        <v>103.5155</v>
      </c>
      <c r="E11390" s="5" t="n">
        <v>1647.1</v>
      </c>
      <c r="F11390" s="3" t="inlineStr">
        <is>
          <t>고운동</t>
        </is>
      </c>
      <c r="G11390" s="3" t="inlineStr"/>
      <c r="H11390" s="3" t="inlineStr">
        <is>
          <t>제1종전용주거지역</t>
        </is>
      </c>
      <c r="I11390" s="3" t="inlineStr">
        <is>
          <t>대</t>
        </is>
      </c>
      <c r="J11390" s="3" t="inlineStr">
        <is>
          <t>고운동</t>
        </is>
      </c>
    </row>
    <row r="11391">
      <c r="A11391" s="3" t="n">
        <v>2023</v>
      </c>
      <c r="B11391" s="4" t="n">
        <v>1020</v>
      </c>
      <c r="C11391" s="4" t="n">
        <v>170</v>
      </c>
      <c r="D11391" s="4" t="n">
        <v>51.425</v>
      </c>
      <c r="E11391" s="5" t="n">
        <v>19.8</v>
      </c>
      <c r="F11391" s="3" t="inlineStr">
        <is>
          <t>소정면</t>
        </is>
      </c>
      <c r="G11391" s="3" t="inlineStr">
        <is>
          <t>고등리</t>
        </is>
      </c>
      <c r="H11391" s="3" t="inlineStr">
        <is>
          <t>농림지역</t>
        </is>
      </c>
      <c r="I11391" s="3" t="inlineStr">
        <is>
          <t>임야</t>
        </is>
      </c>
      <c r="J11391" s="3" t="inlineStr">
        <is>
          <t>소정면</t>
        </is>
      </c>
    </row>
    <row r="11392">
      <c r="A11392" s="3" t="n">
        <v>2023</v>
      </c>
      <c r="B11392" s="4" t="n">
        <v>35000</v>
      </c>
      <c r="C11392" s="4" t="n">
        <v>600</v>
      </c>
      <c r="D11392" s="4" t="n">
        <v>181.5</v>
      </c>
      <c r="E11392" s="5" t="n">
        <v>192.8</v>
      </c>
      <c r="F11392" s="3" t="inlineStr">
        <is>
          <t>장군면</t>
        </is>
      </c>
      <c r="G11392" s="3" t="inlineStr">
        <is>
          <t>대교리</t>
        </is>
      </c>
      <c r="H11392" s="3" t="inlineStr">
        <is>
          <t>보전관리지역</t>
        </is>
      </c>
      <c r="I11392" s="3" t="inlineStr">
        <is>
          <t>임야</t>
        </is>
      </c>
      <c r="J11392" s="3" t="inlineStr">
        <is>
          <t>장군면</t>
        </is>
      </c>
    </row>
    <row r="11393">
      <c r="A11393" s="3" t="n">
        <v>2023</v>
      </c>
      <c r="B11393" s="4" t="n">
        <v>26000</v>
      </c>
      <c r="C11393" s="4" t="n">
        <v>783</v>
      </c>
      <c r="D11393" s="4" t="n">
        <v>236.8575</v>
      </c>
      <c r="E11393" s="5" t="n">
        <v>109.8</v>
      </c>
      <c r="F11393" s="3" t="inlineStr">
        <is>
          <t>장군면</t>
        </is>
      </c>
      <c r="G11393" s="3" t="inlineStr">
        <is>
          <t>금암리</t>
        </is>
      </c>
      <c r="H11393" s="3" t="inlineStr">
        <is>
          <t>계획관리지역</t>
        </is>
      </c>
      <c r="I11393" s="3" t="inlineStr">
        <is>
          <t>임야</t>
        </is>
      </c>
      <c r="J11393" s="3" t="inlineStr">
        <is>
          <t>장군면</t>
        </is>
      </c>
    </row>
    <row r="11394">
      <c r="A11394" s="3" t="n">
        <v>2023</v>
      </c>
      <c r="B11394" s="4" t="n">
        <v>4100</v>
      </c>
      <c r="C11394" s="4" t="n">
        <v>150</v>
      </c>
      <c r="D11394" s="4" t="n">
        <v>45.375</v>
      </c>
      <c r="E11394" s="5" t="n">
        <v>90.40000000000001</v>
      </c>
      <c r="F11394" s="3" t="inlineStr">
        <is>
          <t>연서면</t>
        </is>
      </c>
      <c r="G11394" s="3" t="inlineStr">
        <is>
          <t>신대리</t>
        </is>
      </c>
      <c r="H11394" s="3" t="inlineStr">
        <is>
          <t>보전관리지역</t>
        </is>
      </c>
      <c r="I11394" s="3" t="inlineStr">
        <is>
          <t>전</t>
        </is>
      </c>
      <c r="J11394" s="3" t="inlineStr">
        <is>
          <t>연서면</t>
        </is>
      </c>
    </row>
    <row r="11395">
      <c r="A11395" s="3" t="n">
        <v>2023</v>
      </c>
      <c r="B11395" s="4" t="n">
        <v>7500</v>
      </c>
      <c r="C11395" s="4" t="n">
        <v>62</v>
      </c>
      <c r="D11395" s="4" t="n">
        <v>18.755</v>
      </c>
      <c r="E11395" s="5" t="n">
        <v>399.9</v>
      </c>
      <c r="F11395" s="3" t="inlineStr">
        <is>
          <t>장군면</t>
        </is>
      </c>
      <c r="G11395" s="3" t="inlineStr">
        <is>
          <t>봉안리</t>
        </is>
      </c>
      <c r="H11395" s="3" t="inlineStr">
        <is>
          <t>보전관리지역</t>
        </is>
      </c>
      <c r="I11395" s="3" t="inlineStr">
        <is>
          <t>임야</t>
        </is>
      </c>
      <c r="J11395" s="3" t="inlineStr">
        <is>
          <t>장군면</t>
        </is>
      </c>
    </row>
    <row r="11396">
      <c r="A11396" s="3" t="n">
        <v>2023</v>
      </c>
      <c r="B11396" s="4" t="n">
        <v>43034</v>
      </c>
      <c r="C11396" s="4" t="n">
        <v>1000</v>
      </c>
      <c r="D11396" s="4" t="n">
        <v>302.5</v>
      </c>
      <c r="E11396" s="5" t="n">
        <v>142.3</v>
      </c>
      <c r="F11396" s="3" t="inlineStr">
        <is>
          <t>연서면</t>
        </is>
      </c>
      <c r="G11396" s="3" t="inlineStr">
        <is>
          <t>월하리</t>
        </is>
      </c>
      <c r="H11396" s="3" t="inlineStr">
        <is>
          <t>보전관리지역</t>
        </is>
      </c>
      <c r="I11396" s="3" t="inlineStr">
        <is>
          <t>전</t>
        </is>
      </c>
      <c r="J11396" s="3" t="inlineStr">
        <is>
          <t>연서면</t>
        </is>
      </c>
    </row>
    <row r="11397">
      <c r="A11397" s="3" t="n">
        <v>2023</v>
      </c>
      <c r="B11397" s="4" t="n">
        <v>1937</v>
      </c>
      <c r="C11397" s="4" t="n">
        <v>45</v>
      </c>
      <c r="D11397" s="4" t="n">
        <v>13.6125</v>
      </c>
      <c r="E11397" s="5" t="n">
        <v>142.3</v>
      </c>
      <c r="F11397" s="3" t="inlineStr">
        <is>
          <t>연서면</t>
        </is>
      </c>
      <c r="G11397" s="3" t="inlineStr">
        <is>
          <t>월하리</t>
        </is>
      </c>
      <c r="H11397" s="3" t="inlineStr">
        <is>
          <t>보전관리지역</t>
        </is>
      </c>
      <c r="I11397" s="3" t="inlineStr">
        <is>
          <t>전</t>
        </is>
      </c>
      <c r="J11397" s="3" t="inlineStr">
        <is>
          <t>연서면</t>
        </is>
      </c>
    </row>
    <row r="11398">
      <c r="A11398" s="3" t="n">
        <v>2023</v>
      </c>
      <c r="B11398" s="4" t="n">
        <v>2152</v>
      </c>
      <c r="C11398" s="4" t="n">
        <v>50</v>
      </c>
      <c r="D11398" s="4" t="n">
        <v>15.125</v>
      </c>
      <c r="E11398" s="5" t="n">
        <v>142.3</v>
      </c>
      <c r="F11398" s="3" t="inlineStr">
        <is>
          <t>연서면</t>
        </is>
      </c>
      <c r="G11398" s="3" t="inlineStr">
        <is>
          <t>월하리</t>
        </is>
      </c>
      <c r="H11398" s="3" t="inlineStr">
        <is>
          <t>보전관리지역</t>
        </is>
      </c>
      <c r="I11398" s="3" t="inlineStr">
        <is>
          <t>전</t>
        </is>
      </c>
      <c r="J11398" s="3" t="inlineStr">
        <is>
          <t>연서면</t>
        </is>
      </c>
    </row>
    <row r="11399">
      <c r="A11399" s="3" t="n">
        <v>2023</v>
      </c>
      <c r="B11399" s="4" t="n">
        <v>32878</v>
      </c>
      <c r="C11399" s="4" t="n">
        <v>764</v>
      </c>
      <c r="D11399" s="4" t="n">
        <v>231.11</v>
      </c>
      <c r="E11399" s="5" t="n">
        <v>142.3</v>
      </c>
      <c r="F11399" s="3" t="inlineStr">
        <is>
          <t>연서면</t>
        </is>
      </c>
      <c r="G11399" s="3" t="inlineStr">
        <is>
          <t>월하리</t>
        </is>
      </c>
      <c r="H11399" s="3" t="inlineStr">
        <is>
          <t>보전관리지역</t>
        </is>
      </c>
      <c r="I11399" s="3" t="inlineStr">
        <is>
          <t>전</t>
        </is>
      </c>
      <c r="J11399" s="3" t="inlineStr">
        <is>
          <t>연서면</t>
        </is>
      </c>
    </row>
    <row r="11400">
      <c r="A11400" s="3" t="n">
        <v>2023</v>
      </c>
      <c r="B11400" s="4" t="n">
        <v>31000</v>
      </c>
      <c r="C11400" s="4" t="n">
        <v>425</v>
      </c>
      <c r="D11400" s="4" t="n">
        <v>128.5625</v>
      </c>
      <c r="E11400" s="5" t="n">
        <v>241.1</v>
      </c>
      <c r="F11400" s="3" t="inlineStr">
        <is>
          <t>장군면</t>
        </is>
      </c>
      <c r="G11400" s="3" t="inlineStr">
        <is>
          <t>송문리</t>
        </is>
      </c>
      <c r="H11400" s="3" t="inlineStr">
        <is>
          <t>계획관리지역</t>
        </is>
      </c>
      <c r="I11400" s="3" t="inlineStr">
        <is>
          <t>임야</t>
        </is>
      </c>
      <c r="J11400" s="3" t="inlineStr">
        <is>
          <t>장군면</t>
        </is>
      </c>
    </row>
    <row r="11401">
      <c r="A11401" s="3" t="n">
        <v>2023</v>
      </c>
      <c r="B11401" s="4" t="n">
        <v>1000</v>
      </c>
      <c r="C11401" s="4" t="n">
        <v>135</v>
      </c>
      <c r="D11401" s="4" t="n">
        <v>40.8375</v>
      </c>
      <c r="E11401" s="5" t="n">
        <v>24.5</v>
      </c>
      <c r="F11401" s="3" t="inlineStr">
        <is>
          <t>연서면</t>
        </is>
      </c>
      <c r="G11401" s="3" t="inlineStr">
        <is>
          <t>기룡리</t>
        </is>
      </c>
      <c r="H11401" s="3" t="inlineStr">
        <is>
          <t>계획관리지역</t>
        </is>
      </c>
      <c r="I11401" s="3" t="inlineStr">
        <is>
          <t>대</t>
        </is>
      </c>
      <c r="J11401" s="3" t="inlineStr">
        <is>
          <t>연서면</t>
        </is>
      </c>
    </row>
    <row r="11402">
      <c r="A11402" s="3" t="n">
        <v>2023</v>
      </c>
      <c r="B11402" s="4" t="n">
        <v>29400</v>
      </c>
      <c r="C11402" s="4" t="n">
        <v>2483</v>
      </c>
      <c r="D11402" s="4" t="n">
        <v>751.1075</v>
      </c>
      <c r="E11402" s="5" t="n">
        <v>39.1</v>
      </c>
      <c r="F11402" s="3" t="inlineStr">
        <is>
          <t>전동면</t>
        </is>
      </c>
      <c r="G11402" s="3" t="inlineStr">
        <is>
          <t>송곡리</t>
        </is>
      </c>
      <c r="H11402" s="3" t="inlineStr">
        <is>
          <t>생산관리지역</t>
        </is>
      </c>
      <c r="I11402" s="3" t="inlineStr">
        <is>
          <t>전</t>
        </is>
      </c>
      <c r="J11402" s="3" t="inlineStr">
        <is>
          <t>전동면</t>
        </is>
      </c>
    </row>
    <row r="11403">
      <c r="A11403" s="3" t="n">
        <v>2023</v>
      </c>
      <c r="B11403" s="4" t="n">
        <v>3000</v>
      </c>
      <c r="C11403" s="4" t="n">
        <v>228</v>
      </c>
      <c r="D11403" s="4" t="n">
        <v>68.97</v>
      </c>
      <c r="E11403" s="5" t="n">
        <v>43.5</v>
      </c>
      <c r="F11403" s="3" t="inlineStr">
        <is>
          <t>전동면</t>
        </is>
      </c>
      <c r="G11403" s="3" t="inlineStr">
        <is>
          <t>송곡리</t>
        </is>
      </c>
      <c r="H11403" s="3" t="inlineStr">
        <is>
          <t>보전관리지역</t>
        </is>
      </c>
      <c r="I11403" s="3" t="inlineStr">
        <is>
          <t>전</t>
        </is>
      </c>
      <c r="J11403" s="3" t="inlineStr">
        <is>
          <t>전동면</t>
        </is>
      </c>
    </row>
    <row r="11404">
      <c r="A11404" s="3" t="n">
        <v>2023</v>
      </c>
      <c r="B11404" s="4" t="n">
        <v>9970</v>
      </c>
      <c r="C11404" s="4" t="n">
        <v>641</v>
      </c>
      <c r="D11404" s="4" t="n">
        <v>193.9025</v>
      </c>
      <c r="E11404" s="5" t="n">
        <v>51.4</v>
      </c>
      <c r="F11404" s="3" t="inlineStr">
        <is>
          <t>부강면</t>
        </is>
      </c>
      <c r="G11404" s="3" t="inlineStr">
        <is>
          <t>부강리</t>
        </is>
      </c>
      <c r="H11404" s="3" t="inlineStr">
        <is>
          <t>계획관리지역</t>
        </is>
      </c>
      <c r="I11404" s="3" t="inlineStr">
        <is>
          <t>전</t>
        </is>
      </c>
      <c r="J11404" s="3" t="inlineStr">
        <is>
          <t>부강면</t>
        </is>
      </c>
    </row>
    <row r="11405">
      <c r="A11405" s="3" t="n">
        <v>2022</v>
      </c>
      <c r="B11405" s="4" t="n">
        <v>9800</v>
      </c>
      <c r="C11405" s="4" t="n">
        <v>1246</v>
      </c>
      <c r="D11405" s="4" t="n">
        <v>376.915</v>
      </c>
      <c r="E11405" s="5" t="n">
        <v>26</v>
      </c>
      <c r="F11405" s="3" t="inlineStr">
        <is>
          <t>유구읍</t>
        </is>
      </c>
      <c r="G11405" s="3" t="inlineStr">
        <is>
          <t>신달리</t>
        </is>
      </c>
      <c r="H11405" s="3" t="inlineStr">
        <is>
          <t>보전관리지역</t>
        </is>
      </c>
      <c r="I11405" s="3" t="inlineStr">
        <is>
          <t>답</t>
        </is>
      </c>
      <c r="J11405" s="3" t="inlineStr">
        <is>
          <t>유구읍</t>
        </is>
      </c>
    </row>
    <row r="11406">
      <c r="A11406" s="3" t="n">
        <v>2022</v>
      </c>
      <c r="B11406" s="4" t="n">
        <v>10870</v>
      </c>
      <c r="C11406" s="4" t="n">
        <v>1382</v>
      </c>
      <c r="D11406" s="4" t="n">
        <v>418.055</v>
      </c>
      <c r="E11406" s="5" t="n">
        <v>26</v>
      </c>
      <c r="F11406" s="3" t="inlineStr">
        <is>
          <t>유구읍</t>
        </is>
      </c>
      <c r="G11406" s="3" t="inlineStr">
        <is>
          <t>신달리</t>
        </is>
      </c>
      <c r="H11406" s="3" t="inlineStr">
        <is>
          <t>보전관리지역</t>
        </is>
      </c>
      <c r="I11406" s="3" t="inlineStr">
        <is>
          <t>답</t>
        </is>
      </c>
      <c r="J11406" s="3" t="inlineStr">
        <is>
          <t>유구읍</t>
        </is>
      </c>
    </row>
    <row r="11407">
      <c r="A11407" s="3" t="n">
        <v>2022</v>
      </c>
      <c r="B11407" s="4" t="n">
        <v>7500</v>
      </c>
      <c r="C11407" s="4" t="n">
        <v>835</v>
      </c>
      <c r="D11407" s="4" t="n">
        <v>252.5875</v>
      </c>
      <c r="E11407" s="5" t="n">
        <v>29.7</v>
      </c>
      <c r="F11407" s="3" t="inlineStr">
        <is>
          <t>유구읍</t>
        </is>
      </c>
      <c r="G11407" s="3" t="inlineStr">
        <is>
          <t>명곡리</t>
        </is>
      </c>
      <c r="H11407" s="3" t="inlineStr">
        <is>
          <t>계획관리지역</t>
        </is>
      </c>
      <c r="I11407" s="3" t="inlineStr">
        <is>
          <t>전</t>
        </is>
      </c>
      <c r="J11407" s="3" t="inlineStr">
        <is>
          <t>유구읍</t>
        </is>
      </c>
    </row>
    <row r="11408">
      <c r="A11408" s="3" t="n">
        <v>2022</v>
      </c>
      <c r="B11408" s="4" t="n">
        <v>1500</v>
      </c>
      <c r="C11408" s="4" t="n">
        <v>157</v>
      </c>
      <c r="D11408" s="4" t="n">
        <v>47.4925</v>
      </c>
      <c r="E11408" s="5" t="n">
        <v>31.6</v>
      </c>
      <c r="F11408" s="3" t="inlineStr">
        <is>
          <t>유구읍</t>
        </is>
      </c>
      <c r="G11408" s="3" t="inlineStr">
        <is>
          <t>명곡리</t>
        </is>
      </c>
      <c r="H11408" s="3" t="inlineStr">
        <is>
          <t>계획관리지역</t>
        </is>
      </c>
      <c r="I11408" s="3" t="inlineStr">
        <is>
          <t>전</t>
        </is>
      </c>
      <c r="J11408" s="3" t="inlineStr">
        <is>
          <t>유구읍</t>
        </is>
      </c>
    </row>
    <row r="11409">
      <c r="A11409" s="3" t="n">
        <v>2022</v>
      </c>
      <c r="B11409" s="4" t="n">
        <v>1000</v>
      </c>
      <c r="C11409" s="4" t="n">
        <v>248</v>
      </c>
      <c r="D11409" s="4" t="n">
        <v>75.02</v>
      </c>
      <c r="E11409" s="5" t="n">
        <v>13.3</v>
      </c>
      <c r="F11409" s="3" t="inlineStr">
        <is>
          <t>유구읍</t>
        </is>
      </c>
      <c r="G11409" s="3" t="inlineStr">
        <is>
          <t>명곡리</t>
        </is>
      </c>
      <c r="H11409" s="3" t="inlineStr">
        <is>
          <t>계획관리지역</t>
        </is>
      </c>
      <c r="I11409" s="3" t="inlineStr">
        <is>
          <t>전</t>
        </is>
      </c>
      <c r="J11409" s="3" t="inlineStr">
        <is>
          <t>유구읍</t>
        </is>
      </c>
    </row>
    <row r="11410">
      <c r="A11410" s="3" t="n">
        <v>2022</v>
      </c>
      <c r="B11410" s="4" t="n">
        <v>3500</v>
      </c>
      <c r="C11410" s="4" t="n">
        <v>352</v>
      </c>
      <c r="D11410" s="4" t="n">
        <v>106.48</v>
      </c>
      <c r="E11410" s="5" t="n">
        <v>32.9</v>
      </c>
      <c r="F11410" s="3" t="inlineStr">
        <is>
          <t>유구읍</t>
        </is>
      </c>
      <c r="G11410" s="3" t="inlineStr">
        <is>
          <t>명곡리</t>
        </is>
      </c>
      <c r="H11410" s="3" t="inlineStr">
        <is>
          <t>계획관리지역</t>
        </is>
      </c>
      <c r="I11410" s="3" t="inlineStr">
        <is>
          <t>전</t>
        </is>
      </c>
      <c r="J11410" s="3" t="inlineStr">
        <is>
          <t>유구읍</t>
        </is>
      </c>
    </row>
    <row r="11411">
      <c r="A11411" s="3" t="n">
        <v>2022</v>
      </c>
      <c r="B11411" s="4" t="n">
        <v>2000</v>
      </c>
      <c r="C11411" s="4" t="n">
        <v>404</v>
      </c>
      <c r="D11411" s="4" t="n">
        <v>122.21</v>
      </c>
      <c r="E11411" s="5" t="n">
        <v>16.4</v>
      </c>
      <c r="F11411" s="3" t="inlineStr">
        <is>
          <t>유구읍</t>
        </is>
      </c>
      <c r="G11411" s="3" t="inlineStr">
        <is>
          <t>명곡리</t>
        </is>
      </c>
      <c r="H11411" s="3" t="inlineStr">
        <is>
          <t>계획관리지역</t>
        </is>
      </c>
      <c r="I11411" s="3" t="inlineStr">
        <is>
          <t>전</t>
        </is>
      </c>
      <c r="J11411" s="3" t="inlineStr">
        <is>
          <t>유구읍</t>
        </is>
      </c>
    </row>
    <row r="11412">
      <c r="A11412" s="3" t="n">
        <v>2022</v>
      </c>
      <c r="B11412" s="4" t="n">
        <v>11800</v>
      </c>
      <c r="C11412" s="4" t="n">
        <v>612</v>
      </c>
      <c r="D11412" s="4" t="n">
        <v>185.13</v>
      </c>
      <c r="E11412" s="5" t="n">
        <v>63.7</v>
      </c>
      <c r="F11412" s="3" t="inlineStr">
        <is>
          <t>유구읍</t>
        </is>
      </c>
      <c r="G11412" s="3" t="inlineStr">
        <is>
          <t>백교리</t>
        </is>
      </c>
      <c r="H11412" s="3" t="inlineStr">
        <is>
          <t>자연녹지지역</t>
        </is>
      </c>
      <c r="I11412" s="3" t="inlineStr">
        <is>
          <t>임야</t>
        </is>
      </c>
      <c r="J11412" s="3" t="inlineStr">
        <is>
          <t>유구읍</t>
        </is>
      </c>
    </row>
    <row r="11413">
      <c r="A11413" s="3" t="n">
        <v>2022</v>
      </c>
      <c r="B11413" s="4" t="n">
        <v>17353</v>
      </c>
      <c r="C11413" s="4" t="n">
        <v>1023</v>
      </c>
      <c r="D11413" s="4" t="n">
        <v>309.4575</v>
      </c>
      <c r="E11413" s="5" t="n">
        <v>56.1</v>
      </c>
      <c r="F11413" s="3" t="inlineStr">
        <is>
          <t>유구읍</t>
        </is>
      </c>
      <c r="G11413" s="3" t="inlineStr">
        <is>
          <t>유구리</t>
        </is>
      </c>
      <c r="H11413" s="3" t="inlineStr">
        <is>
          <t>계획관리지역</t>
        </is>
      </c>
      <c r="I11413" s="3" t="inlineStr">
        <is>
          <t>답</t>
        </is>
      </c>
      <c r="J11413" s="3" t="inlineStr">
        <is>
          <t>유구읍</t>
        </is>
      </c>
    </row>
    <row r="11414">
      <c r="A11414" s="3" t="n">
        <v>2022</v>
      </c>
      <c r="B11414" s="4" t="n">
        <v>17776</v>
      </c>
      <c r="C11414" s="4" t="n">
        <v>1048</v>
      </c>
      <c r="D11414" s="4" t="n">
        <v>317.02</v>
      </c>
      <c r="E11414" s="5" t="n">
        <v>56.1</v>
      </c>
      <c r="F11414" s="3" t="inlineStr">
        <is>
          <t>유구읍</t>
        </is>
      </c>
      <c r="G11414" s="3" t="inlineStr">
        <is>
          <t>유구리</t>
        </is>
      </c>
      <c r="H11414" s="3" t="inlineStr">
        <is>
          <t>계획관리지역</t>
        </is>
      </c>
      <c r="I11414" s="3" t="inlineStr">
        <is>
          <t>답</t>
        </is>
      </c>
      <c r="J11414" s="3" t="inlineStr">
        <is>
          <t>유구읍</t>
        </is>
      </c>
    </row>
    <row r="11415">
      <c r="A11415" s="3" t="n">
        <v>2022</v>
      </c>
      <c r="B11415" s="4" t="n">
        <v>19872</v>
      </c>
      <c r="C11415" s="4" t="n">
        <v>1071</v>
      </c>
      <c r="D11415" s="4" t="n">
        <v>323.9775</v>
      </c>
      <c r="E11415" s="5" t="n">
        <v>61.3</v>
      </c>
      <c r="F11415" s="3" t="inlineStr">
        <is>
          <t>유구읍</t>
        </is>
      </c>
      <c r="G11415" s="3" t="inlineStr">
        <is>
          <t>유구리</t>
        </is>
      </c>
      <c r="H11415" s="3" t="inlineStr">
        <is>
          <t>계획관리지역</t>
        </is>
      </c>
      <c r="I11415" s="3" t="inlineStr">
        <is>
          <t>공장용지</t>
        </is>
      </c>
      <c r="J11415" s="3" t="inlineStr">
        <is>
          <t>유구읍</t>
        </is>
      </c>
    </row>
    <row r="11416">
      <c r="A11416" s="3" t="n">
        <v>2022</v>
      </c>
      <c r="B11416" s="4" t="n">
        <v>9190</v>
      </c>
      <c r="C11416" s="4" t="n">
        <v>13187</v>
      </c>
      <c r="D11416" s="4" t="n">
        <v>3989.0675</v>
      </c>
      <c r="E11416" s="5" t="n">
        <v>2.3</v>
      </c>
      <c r="F11416" s="3" t="inlineStr">
        <is>
          <t>유구읍</t>
        </is>
      </c>
      <c r="G11416" s="3" t="inlineStr">
        <is>
          <t>동해리</t>
        </is>
      </c>
      <c r="H11416" s="3" t="inlineStr">
        <is>
          <t>계획관리지역</t>
        </is>
      </c>
      <c r="I11416" s="3" t="inlineStr">
        <is>
          <t>임야</t>
        </is>
      </c>
      <c r="J11416" s="3" t="inlineStr">
        <is>
          <t>유구읍</t>
        </is>
      </c>
    </row>
    <row r="11417">
      <c r="A11417" s="3" t="n">
        <v>2022</v>
      </c>
      <c r="B11417" s="4" t="n">
        <v>10</v>
      </c>
      <c r="C11417" s="4" t="n">
        <v>36</v>
      </c>
      <c r="D11417" s="4" t="n">
        <v>10.89</v>
      </c>
      <c r="E11417" s="5" t="n">
        <v>0.9</v>
      </c>
      <c r="F11417" s="3" t="inlineStr">
        <is>
          <t>유구읍</t>
        </is>
      </c>
      <c r="G11417" s="3" t="inlineStr">
        <is>
          <t>동해리</t>
        </is>
      </c>
      <c r="H11417" s="3" t="inlineStr">
        <is>
          <t>계획관리지역</t>
        </is>
      </c>
      <c r="I11417" s="3" t="inlineStr">
        <is>
          <t>임야</t>
        </is>
      </c>
      <c r="J11417" s="3" t="inlineStr">
        <is>
          <t>유구읍</t>
        </is>
      </c>
    </row>
    <row r="11418">
      <c r="A11418" s="3" t="n">
        <v>2023</v>
      </c>
      <c r="B11418" s="4" t="n">
        <v>3400</v>
      </c>
      <c r="C11418" s="4" t="n">
        <v>75</v>
      </c>
      <c r="D11418" s="4" t="n">
        <v>22.6875</v>
      </c>
      <c r="E11418" s="5" t="n">
        <v>149.9</v>
      </c>
      <c r="F11418" s="3" t="inlineStr">
        <is>
          <t>부강면</t>
        </is>
      </c>
      <c r="G11418" s="3" t="inlineStr">
        <is>
          <t>부강리</t>
        </is>
      </c>
      <c r="H11418" s="3" t="inlineStr">
        <is>
          <t>계획관리지역</t>
        </is>
      </c>
      <c r="I11418" s="3" t="inlineStr">
        <is>
          <t>공장용지</t>
        </is>
      </c>
      <c r="J11418" s="3" t="inlineStr">
        <is>
          <t>부강면</t>
        </is>
      </c>
    </row>
    <row r="11419">
      <c r="A11419" s="3" t="n">
        <v>2026</v>
      </c>
      <c r="B11419" s="4" t="n">
        <v>5800</v>
      </c>
      <c r="C11419" s="4" t="n">
        <v>66</v>
      </c>
      <c r="D11419" s="4" t="n">
        <v>19.965</v>
      </c>
      <c r="E11419" s="5" t="n">
        <v>290.5</v>
      </c>
      <c r="F11419" s="3" t="inlineStr">
        <is>
          <t>부강면</t>
        </is>
      </c>
      <c r="G11419" s="3" t="inlineStr">
        <is>
          <t>부강리</t>
        </is>
      </c>
      <c r="H11419" s="3" t="inlineStr">
        <is>
          <t>제2종일반주거지역</t>
        </is>
      </c>
      <c r="I11419" s="3" t="inlineStr">
        <is>
          <t>대</t>
        </is>
      </c>
      <c r="J11419" s="3" t="inlineStr">
        <is>
          <t>부강면</t>
        </is>
      </c>
    </row>
    <row r="11420">
      <c r="A11420" s="3" t="n">
        <v>2025</v>
      </c>
      <c r="B11420" s="4" t="n">
        <v>38000</v>
      </c>
      <c r="C11420" s="4" t="n">
        <v>816</v>
      </c>
      <c r="D11420" s="4" t="n">
        <v>246.84</v>
      </c>
      <c r="E11420" s="5" t="n">
        <v>153.9</v>
      </c>
      <c r="F11420" s="3" t="inlineStr">
        <is>
          <t>장군면</t>
        </is>
      </c>
      <c r="G11420" s="3" t="inlineStr">
        <is>
          <t>은용리</t>
        </is>
      </c>
      <c r="H11420" s="3" t="inlineStr">
        <is>
          <t>농림지역</t>
        </is>
      </c>
      <c r="I11420" s="3" t="inlineStr">
        <is>
          <t>답</t>
        </is>
      </c>
      <c r="J11420" s="3" t="inlineStr">
        <is>
          <t>장군면</t>
        </is>
      </c>
    </row>
    <row r="11421">
      <c r="A11421" s="3" t="n">
        <v>2025</v>
      </c>
      <c r="B11421" s="4" t="n">
        <v>39676</v>
      </c>
      <c r="C11421" s="4" t="n">
        <v>480</v>
      </c>
      <c r="D11421" s="4" t="n">
        <v>145.2</v>
      </c>
      <c r="E11421" s="5" t="n">
        <v>273.3</v>
      </c>
      <c r="F11421" s="3" t="inlineStr">
        <is>
          <t>연기면</t>
        </is>
      </c>
      <c r="G11421" s="3" t="inlineStr">
        <is>
          <t>눌왕리</t>
        </is>
      </c>
      <c r="H11421" s="3" t="inlineStr">
        <is>
          <t>보전관리지역</t>
        </is>
      </c>
      <c r="I11421" s="3" t="inlineStr">
        <is>
          <t>임야</t>
        </is>
      </c>
      <c r="J11421" s="3" t="inlineStr">
        <is>
          <t>연기면</t>
        </is>
      </c>
    </row>
    <row r="11422">
      <c r="A11422" s="3" t="n">
        <v>2025</v>
      </c>
      <c r="B11422" s="4" t="n">
        <v>44000</v>
      </c>
      <c r="C11422" s="4" t="n">
        <v>813</v>
      </c>
      <c r="D11422" s="4" t="n">
        <v>245.9325</v>
      </c>
      <c r="E11422" s="5" t="n">
        <v>178.9</v>
      </c>
      <c r="F11422" s="3" t="inlineStr">
        <is>
          <t>장군면</t>
        </is>
      </c>
      <c r="G11422" s="3" t="inlineStr">
        <is>
          <t>평기리</t>
        </is>
      </c>
      <c r="H11422" s="3" t="inlineStr">
        <is>
          <t>제1종일반주거지역</t>
        </is>
      </c>
      <c r="I11422" s="3" t="inlineStr">
        <is>
          <t>답</t>
        </is>
      </c>
      <c r="J11422" s="3" t="inlineStr">
        <is>
          <t>장군면</t>
        </is>
      </c>
    </row>
    <row r="11423">
      <c r="A11423" s="3" t="n">
        <v>2025</v>
      </c>
      <c r="B11423" s="4" t="n">
        <v>113500</v>
      </c>
      <c r="C11423" s="4" t="n">
        <v>1501</v>
      </c>
      <c r="D11423" s="4" t="n">
        <v>454.0525</v>
      </c>
      <c r="E11423" s="5" t="n">
        <v>250</v>
      </c>
      <c r="F11423" s="3" t="inlineStr">
        <is>
          <t>장군면</t>
        </is>
      </c>
      <c r="G11423" s="3" t="inlineStr">
        <is>
          <t>은용리</t>
        </is>
      </c>
      <c r="H11423" s="3" t="inlineStr">
        <is>
          <t>제1종일반주거지역</t>
        </is>
      </c>
      <c r="I11423" s="3" t="inlineStr">
        <is>
          <t>전</t>
        </is>
      </c>
      <c r="J11423" s="3" t="inlineStr">
        <is>
          <t>장군면</t>
        </is>
      </c>
    </row>
    <row r="11424">
      <c r="A11424" s="3" t="n">
        <v>2025</v>
      </c>
      <c r="B11424" s="4" t="n">
        <v>22000</v>
      </c>
      <c r="C11424" s="4" t="n">
        <v>330</v>
      </c>
      <c r="D11424" s="4" t="n">
        <v>99.825</v>
      </c>
      <c r="E11424" s="5" t="n">
        <v>220.4</v>
      </c>
      <c r="F11424" s="3" t="inlineStr">
        <is>
          <t>장군면</t>
        </is>
      </c>
      <c r="G11424" s="3" t="inlineStr">
        <is>
          <t>하봉리</t>
        </is>
      </c>
      <c r="H11424" s="3" t="inlineStr">
        <is>
          <t>계획관리지역</t>
        </is>
      </c>
      <c r="I11424" s="3" t="inlineStr">
        <is>
          <t>임야</t>
        </is>
      </c>
      <c r="J11424" s="3" t="inlineStr">
        <is>
          <t>장군면</t>
        </is>
      </c>
    </row>
    <row r="11425">
      <c r="A11425" s="3" t="n">
        <v>2025</v>
      </c>
      <c r="B11425" s="4" t="n">
        <v>3400</v>
      </c>
      <c r="C11425" s="4" t="n">
        <v>700</v>
      </c>
      <c r="D11425" s="4" t="n">
        <v>211.75</v>
      </c>
      <c r="E11425" s="5" t="n">
        <v>16.1</v>
      </c>
      <c r="F11425" s="3" t="inlineStr">
        <is>
          <t>전동면</t>
        </is>
      </c>
      <c r="G11425" s="3" t="inlineStr">
        <is>
          <t>봉대리</t>
        </is>
      </c>
      <c r="H11425" s="3" t="inlineStr">
        <is>
          <t>생산관리지역</t>
        </is>
      </c>
      <c r="I11425" s="3" t="inlineStr">
        <is>
          <t>전</t>
        </is>
      </c>
      <c r="J11425" s="3" t="inlineStr">
        <is>
          <t>전동면</t>
        </is>
      </c>
    </row>
    <row r="11426">
      <c r="A11426" s="3" t="n">
        <v>2025</v>
      </c>
      <c r="B11426" s="4" t="n">
        <v>4264</v>
      </c>
      <c r="C11426" s="4" t="n">
        <v>882</v>
      </c>
      <c r="D11426" s="4" t="n">
        <v>266.805</v>
      </c>
      <c r="E11426" s="5" t="n">
        <v>16</v>
      </c>
      <c r="F11426" s="3" t="inlineStr">
        <is>
          <t>전동면</t>
        </is>
      </c>
      <c r="G11426" s="3" t="inlineStr">
        <is>
          <t>봉대리</t>
        </is>
      </c>
      <c r="H11426" s="3" t="inlineStr">
        <is>
          <t>생산관리지역</t>
        </is>
      </c>
      <c r="I11426" s="3" t="inlineStr">
        <is>
          <t>전</t>
        </is>
      </c>
      <c r="J11426" s="3" t="inlineStr">
        <is>
          <t>전동면</t>
        </is>
      </c>
    </row>
    <row r="11427">
      <c r="A11427" s="3" t="n">
        <v>2025</v>
      </c>
      <c r="B11427" s="4" t="n">
        <v>39500</v>
      </c>
      <c r="C11427" s="4" t="n">
        <v>1206</v>
      </c>
      <c r="D11427" s="4" t="n">
        <v>364.815</v>
      </c>
      <c r="E11427" s="5" t="n">
        <v>108.3</v>
      </c>
      <c r="F11427" s="3" t="inlineStr">
        <is>
          <t>장군면</t>
        </is>
      </c>
      <c r="G11427" s="3" t="inlineStr">
        <is>
          <t>금암리</t>
        </is>
      </c>
      <c r="H11427" s="3" t="inlineStr">
        <is>
          <t>보전관리지역</t>
        </is>
      </c>
      <c r="I11427" s="3" t="inlineStr">
        <is>
          <t>임야</t>
        </is>
      </c>
      <c r="J11427" s="3" t="inlineStr">
        <is>
          <t>장군면</t>
        </is>
      </c>
    </row>
    <row r="11428">
      <c r="A11428" s="3" t="n">
        <v>2025</v>
      </c>
      <c r="B11428" s="4" t="n">
        <v>26700</v>
      </c>
      <c r="C11428" s="4" t="n">
        <v>635</v>
      </c>
      <c r="D11428" s="4" t="n">
        <v>192.0875</v>
      </c>
      <c r="E11428" s="5" t="n">
        <v>139</v>
      </c>
      <c r="F11428" s="3" t="inlineStr">
        <is>
          <t>연서면</t>
        </is>
      </c>
      <c r="G11428" s="3" t="inlineStr">
        <is>
          <t>와촌리</t>
        </is>
      </c>
      <c r="H11428" s="3" t="inlineStr">
        <is>
          <t>계획관리지역</t>
        </is>
      </c>
      <c r="I11428" s="3" t="inlineStr">
        <is>
          <t>전</t>
        </is>
      </c>
      <c r="J11428" s="3" t="inlineStr">
        <is>
          <t>연서면</t>
        </is>
      </c>
    </row>
    <row r="11429">
      <c r="A11429" s="3" t="n">
        <v>2025</v>
      </c>
      <c r="B11429" s="4" t="n">
        <v>152800</v>
      </c>
      <c r="C11429" s="4" t="n">
        <v>8782</v>
      </c>
      <c r="D11429" s="4" t="n">
        <v>2656.555</v>
      </c>
      <c r="E11429" s="5" t="n">
        <v>57.5</v>
      </c>
      <c r="F11429" s="3" t="inlineStr">
        <is>
          <t>연서면</t>
        </is>
      </c>
      <c r="G11429" s="3" t="inlineStr">
        <is>
          <t>와촌리</t>
        </is>
      </c>
      <c r="H11429" s="3" t="inlineStr">
        <is>
          <t>계획관리지역</t>
        </is>
      </c>
      <c r="I11429" s="3" t="inlineStr">
        <is>
          <t>임야</t>
        </is>
      </c>
      <c r="J11429" s="3" t="inlineStr">
        <is>
          <t>연서면</t>
        </is>
      </c>
    </row>
    <row r="11430">
      <c r="A11430" s="3" t="n">
        <v>2025</v>
      </c>
      <c r="B11430" s="4" t="n">
        <v>74400</v>
      </c>
      <c r="C11430" s="4" t="n">
        <v>4463</v>
      </c>
      <c r="D11430" s="4" t="n">
        <v>1350.0575</v>
      </c>
      <c r="E11430" s="5" t="n">
        <v>55.1</v>
      </c>
      <c r="F11430" s="3" t="inlineStr">
        <is>
          <t>연서면</t>
        </is>
      </c>
      <c r="G11430" s="3" t="inlineStr">
        <is>
          <t>와촌리</t>
        </is>
      </c>
      <c r="H11430" s="3" t="inlineStr">
        <is>
          <t>계획관리지역</t>
        </is>
      </c>
      <c r="I11430" s="3" t="inlineStr">
        <is>
          <t>임야</t>
        </is>
      </c>
      <c r="J11430" s="3" t="inlineStr">
        <is>
          <t>연서면</t>
        </is>
      </c>
    </row>
    <row r="11431">
      <c r="A11431" s="3" t="n">
        <v>2025</v>
      </c>
      <c r="B11431" s="4" t="n">
        <v>195400</v>
      </c>
      <c r="C11431" s="4" t="n">
        <v>11710</v>
      </c>
      <c r="D11431" s="4" t="n">
        <v>3542.275</v>
      </c>
      <c r="E11431" s="5" t="n">
        <v>55.2</v>
      </c>
      <c r="F11431" s="3" t="inlineStr">
        <is>
          <t>연서면</t>
        </is>
      </c>
      <c r="G11431" s="3" t="inlineStr">
        <is>
          <t>와촌리</t>
        </is>
      </c>
      <c r="H11431" s="3" t="inlineStr">
        <is>
          <t>계획관리지역</t>
        </is>
      </c>
      <c r="I11431" s="3" t="inlineStr">
        <is>
          <t>임야</t>
        </is>
      </c>
      <c r="J11431" s="3" t="inlineStr">
        <is>
          <t>연서면</t>
        </is>
      </c>
    </row>
    <row r="11432">
      <c r="A11432" s="3" t="n">
        <v>2025</v>
      </c>
      <c r="B11432" s="4" t="n">
        <v>25700</v>
      </c>
      <c r="C11432" s="4" t="n">
        <v>1487</v>
      </c>
      <c r="D11432" s="4" t="n">
        <v>449.8175</v>
      </c>
      <c r="E11432" s="5" t="n">
        <v>57.1</v>
      </c>
      <c r="F11432" s="3" t="inlineStr">
        <is>
          <t>연서면</t>
        </is>
      </c>
      <c r="G11432" s="3" t="inlineStr">
        <is>
          <t>와촌리</t>
        </is>
      </c>
      <c r="H11432" s="3" t="inlineStr">
        <is>
          <t>계획관리지역</t>
        </is>
      </c>
      <c r="I11432" s="3" t="inlineStr">
        <is>
          <t>임야</t>
        </is>
      </c>
      <c r="J11432" s="3" t="inlineStr">
        <is>
          <t>연서면</t>
        </is>
      </c>
    </row>
    <row r="11433">
      <c r="A11433" s="3" t="n">
        <v>2025</v>
      </c>
      <c r="B11433" s="4" t="n">
        <v>13300</v>
      </c>
      <c r="C11433" s="4" t="n">
        <v>200</v>
      </c>
      <c r="D11433" s="4" t="n">
        <v>60.5</v>
      </c>
      <c r="E11433" s="5" t="n">
        <v>219.8</v>
      </c>
      <c r="F11433" s="3" t="inlineStr">
        <is>
          <t>연동면</t>
        </is>
      </c>
      <c r="G11433" s="3" t="inlineStr">
        <is>
          <t>응암리</t>
        </is>
      </c>
      <c r="H11433" s="3" t="inlineStr">
        <is>
          <t>계획관리지역</t>
        </is>
      </c>
      <c r="I11433" s="3" t="inlineStr">
        <is>
          <t>답</t>
        </is>
      </c>
      <c r="J11433" s="3" t="inlineStr">
        <is>
          <t>연동면</t>
        </is>
      </c>
    </row>
    <row r="11434">
      <c r="A11434" s="3" t="n">
        <v>2025</v>
      </c>
      <c r="B11434" s="4" t="n">
        <v>13000</v>
      </c>
      <c r="C11434" s="4" t="n">
        <v>429</v>
      </c>
      <c r="D11434" s="4" t="n">
        <v>129.7725</v>
      </c>
      <c r="E11434" s="5" t="n">
        <v>100.2</v>
      </c>
      <c r="F11434" s="3" t="inlineStr">
        <is>
          <t>장군면</t>
        </is>
      </c>
      <c r="G11434" s="3" t="inlineStr">
        <is>
          <t>하봉리</t>
        </is>
      </c>
      <c r="H11434" s="3" t="inlineStr">
        <is>
          <t>보전관리지역</t>
        </is>
      </c>
      <c r="I11434" s="3" t="inlineStr">
        <is>
          <t>대</t>
        </is>
      </c>
      <c r="J11434" s="3" t="inlineStr">
        <is>
          <t>장군면</t>
        </is>
      </c>
    </row>
    <row r="11435">
      <c r="A11435" s="3" t="n">
        <v>2025</v>
      </c>
      <c r="B11435" s="4" t="n">
        <v>10000</v>
      </c>
      <c r="C11435" s="4" t="n">
        <v>764</v>
      </c>
      <c r="D11435" s="4" t="n">
        <v>231.11</v>
      </c>
      <c r="E11435" s="5" t="n">
        <v>43.3</v>
      </c>
      <c r="F11435" s="3" t="inlineStr">
        <is>
          <t>부강면</t>
        </is>
      </c>
      <c r="G11435" s="3" t="inlineStr">
        <is>
          <t>갈산리</t>
        </is>
      </c>
      <c r="H11435" s="3" t="inlineStr">
        <is>
          <t>계획관리지역</t>
        </is>
      </c>
      <c r="I11435" s="3" t="inlineStr">
        <is>
          <t>전</t>
        </is>
      </c>
      <c r="J11435" s="3" t="inlineStr">
        <is>
          <t>부강면</t>
        </is>
      </c>
    </row>
    <row r="11436">
      <c r="A11436" s="3" t="n">
        <v>2025</v>
      </c>
      <c r="B11436" s="4" t="n">
        <v>5000</v>
      </c>
      <c r="C11436" s="4" t="n">
        <v>50</v>
      </c>
      <c r="D11436" s="4" t="n">
        <v>15.125</v>
      </c>
      <c r="E11436" s="5" t="n">
        <v>330.6</v>
      </c>
      <c r="F11436" s="3" t="inlineStr">
        <is>
          <t>부강면</t>
        </is>
      </c>
      <c r="G11436" s="3" t="inlineStr">
        <is>
          <t>등곡리</t>
        </is>
      </c>
      <c r="H11436" s="3" t="inlineStr">
        <is>
          <t>계획관리지역</t>
        </is>
      </c>
      <c r="I11436" s="3" t="inlineStr">
        <is>
          <t>도로</t>
        </is>
      </c>
      <c r="J11436" s="3" t="inlineStr">
        <is>
          <t>부강면</t>
        </is>
      </c>
    </row>
    <row r="11437">
      <c r="A11437" s="3" t="n">
        <v>2025</v>
      </c>
      <c r="B11437" s="4" t="n">
        <v>38250</v>
      </c>
      <c r="C11437" s="4" t="n">
        <v>2527</v>
      </c>
      <c r="D11437" s="4" t="n">
        <v>764.4175</v>
      </c>
      <c r="E11437" s="5" t="n">
        <v>50</v>
      </c>
      <c r="F11437" s="3" t="inlineStr">
        <is>
          <t>금남면</t>
        </is>
      </c>
      <c r="G11437" s="3" t="inlineStr">
        <is>
          <t>황용리</t>
        </is>
      </c>
      <c r="H11437" s="3" t="inlineStr">
        <is>
          <t>개발제한구역</t>
        </is>
      </c>
      <c r="I11437" s="3" t="inlineStr">
        <is>
          <t>답</t>
        </is>
      </c>
      <c r="J11437" s="3" t="inlineStr">
        <is>
          <t>금남면</t>
        </is>
      </c>
    </row>
    <row r="11438">
      <c r="A11438" s="3" t="n">
        <v>2025</v>
      </c>
      <c r="B11438" s="4" t="n">
        <v>7168</v>
      </c>
      <c r="C11438" s="4" t="n">
        <v>97</v>
      </c>
      <c r="D11438" s="4" t="n">
        <v>29.3425</v>
      </c>
      <c r="E11438" s="5" t="n">
        <v>244.3</v>
      </c>
      <c r="F11438" s="3" t="inlineStr">
        <is>
          <t>장군면</t>
        </is>
      </c>
      <c r="G11438" s="3" t="inlineStr">
        <is>
          <t>봉안리</t>
        </is>
      </c>
      <c r="H11438" s="3" t="inlineStr">
        <is>
          <t>계획관리지역</t>
        </is>
      </c>
      <c r="I11438" s="3" t="inlineStr">
        <is>
          <t>대</t>
        </is>
      </c>
      <c r="J11438" s="3" t="inlineStr">
        <is>
          <t>장군면</t>
        </is>
      </c>
    </row>
    <row r="11439">
      <c r="A11439" s="3" t="n">
        <v>2025</v>
      </c>
      <c r="B11439" s="4" t="n">
        <v>103937</v>
      </c>
      <c r="C11439" s="4" t="n">
        <v>1367</v>
      </c>
      <c r="D11439" s="4" t="n">
        <v>413.5175</v>
      </c>
      <c r="E11439" s="5" t="n">
        <v>251.3</v>
      </c>
      <c r="F11439" s="3" t="inlineStr">
        <is>
          <t>장군면</t>
        </is>
      </c>
      <c r="G11439" s="3" t="inlineStr">
        <is>
          <t>봉안리</t>
        </is>
      </c>
      <c r="H11439" s="3" t="inlineStr">
        <is>
          <t>계획관리지역</t>
        </is>
      </c>
      <c r="I11439" s="3" t="inlineStr">
        <is>
          <t>대</t>
        </is>
      </c>
      <c r="J11439" s="3" t="inlineStr">
        <is>
          <t>장군면</t>
        </is>
      </c>
    </row>
    <row r="11440">
      <c r="A11440" s="3" t="n">
        <v>2025</v>
      </c>
      <c r="B11440" s="4" t="n">
        <v>34063</v>
      </c>
      <c r="C11440" s="4" t="n">
        <v>448</v>
      </c>
      <c r="D11440" s="4" t="n">
        <v>135.52</v>
      </c>
      <c r="E11440" s="5" t="n">
        <v>251.4</v>
      </c>
      <c r="F11440" s="3" t="inlineStr">
        <is>
          <t>장군면</t>
        </is>
      </c>
      <c r="G11440" s="3" t="inlineStr">
        <is>
          <t>봉안리</t>
        </is>
      </c>
      <c r="H11440" s="3" t="inlineStr">
        <is>
          <t>계획관리지역</t>
        </is>
      </c>
      <c r="I11440" s="3" t="inlineStr">
        <is>
          <t>대</t>
        </is>
      </c>
      <c r="J11440" s="3" t="inlineStr">
        <is>
          <t>장군면</t>
        </is>
      </c>
    </row>
    <row r="11441">
      <c r="A11441" s="3" t="n">
        <v>2025</v>
      </c>
      <c r="B11441" s="4" t="n">
        <v>12000</v>
      </c>
      <c r="C11441" s="4" t="n">
        <v>838</v>
      </c>
      <c r="D11441" s="4" t="n">
        <v>253.495</v>
      </c>
      <c r="E11441" s="5" t="n">
        <v>47.3</v>
      </c>
      <c r="F11441" s="3" t="inlineStr">
        <is>
          <t>연서면</t>
        </is>
      </c>
      <c r="G11441" s="3" t="inlineStr">
        <is>
          <t>용암리</t>
        </is>
      </c>
      <c r="H11441" s="3" t="inlineStr">
        <is>
          <t>생산관리지역</t>
        </is>
      </c>
      <c r="I11441" s="3" t="inlineStr">
        <is>
          <t>전</t>
        </is>
      </c>
      <c r="J11441" s="3" t="inlineStr">
        <is>
          <t>연서면</t>
        </is>
      </c>
    </row>
    <row r="11442">
      <c r="A11442" s="3" t="n">
        <v>2025</v>
      </c>
      <c r="B11442" s="4" t="n">
        <v>20000</v>
      </c>
      <c r="C11442" s="4" t="n">
        <v>645</v>
      </c>
      <c r="D11442" s="4" t="n">
        <v>195.1125</v>
      </c>
      <c r="E11442" s="5" t="n">
        <v>102.5</v>
      </c>
      <c r="F11442" s="3" t="inlineStr">
        <is>
          <t>장군면</t>
        </is>
      </c>
      <c r="G11442" s="3" t="inlineStr">
        <is>
          <t>은용리</t>
        </is>
      </c>
      <c r="H11442" s="3" t="inlineStr">
        <is>
          <t>보전관리지역</t>
        </is>
      </c>
      <c r="I11442" s="3" t="inlineStr">
        <is>
          <t>답</t>
        </is>
      </c>
      <c r="J11442" s="3" t="inlineStr">
        <is>
          <t>장군면</t>
        </is>
      </c>
    </row>
    <row r="11443">
      <c r="A11443" s="3" t="n">
        <v>2025</v>
      </c>
      <c r="B11443" s="4" t="n">
        <v>725</v>
      </c>
      <c r="C11443" s="4" t="n">
        <v>7</v>
      </c>
      <c r="D11443" s="4" t="n">
        <v>2.1175</v>
      </c>
      <c r="E11443" s="5" t="n">
        <v>342.4</v>
      </c>
      <c r="F11443" s="3" t="inlineStr">
        <is>
          <t>조치원읍</t>
        </is>
      </c>
      <c r="G11443" s="3" t="inlineStr">
        <is>
          <t>죽림리</t>
        </is>
      </c>
      <c r="H11443" s="3" t="inlineStr">
        <is>
          <t>제2종일반주거지역</t>
        </is>
      </c>
      <c r="I11443" s="3" t="inlineStr">
        <is>
          <t>도로</t>
        </is>
      </c>
      <c r="J11443" s="3" t="inlineStr">
        <is>
          <t>조치원읍</t>
        </is>
      </c>
    </row>
    <row r="11444">
      <c r="A11444" s="3" t="n">
        <v>2025</v>
      </c>
      <c r="B11444" s="4" t="n">
        <v>26994</v>
      </c>
      <c r="C11444" s="4" t="n">
        <v>453</v>
      </c>
      <c r="D11444" s="4" t="n">
        <v>137.0325</v>
      </c>
      <c r="E11444" s="5" t="n">
        <v>197</v>
      </c>
      <c r="F11444" s="3" t="inlineStr">
        <is>
          <t>전의면</t>
        </is>
      </c>
      <c r="G11444" s="3" t="inlineStr">
        <is>
          <t>신방리</t>
        </is>
      </c>
      <c r="H11444" s="3" t="inlineStr">
        <is>
          <t>계획관리지역</t>
        </is>
      </c>
      <c r="I11444" s="3" t="inlineStr">
        <is>
          <t>임야</t>
        </is>
      </c>
      <c r="J11444" s="3" t="inlineStr">
        <is>
          <t>전의면</t>
        </is>
      </c>
    </row>
    <row r="11445">
      <c r="A11445" s="3" t="n">
        <v>2025</v>
      </c>
      <c r="B11445" s="4" t="n">
        <v>725</v>
      </c>
      <c r="C11445" s="4" t="n">
        <v>7</v>
      </c>
      <c r="D11445" s="4" t="n">
        <v>2.1175</v>
      </c>
      <c r="E11445" s="5" t="n">
        <v>342.4</v>
      </c>
      <c r="F11445" s="3" t="inlineStr">
        <is>
          <t>조치원읍</t>
        </is>
      </c>
      <c r="G11445" s="3" t="inlineStr">
        <is>
          <t>죽림리</t>
        </is>
      </c>
      <c r="H11445" s="3" t="inlineStr">
        <is>
          <t>제2종일반주거지역</t>
        </is>
      </c>
      <c r="I11445" s="3" t="inlineStr">
        <is>
          <t>도로</t>
        </is>
      </c>
      <c r="J11445" s="3" t="inlineStr">
        <is>
          <t>조치원읍</t>
        </is>
      </c>
    </row>
    <row r="11446">
      <c r="A11446" s="3" t="n">
        <v>2025</v>
      </c>
      <c r="B11446" s="4" t="n">
        <v>100</v>
      </c>
      <c r="C11446" s="4" t="n">
        <v>3</v>
      </c>
      <c r="D11446" s="4" t="n">
        <v>0.9075</v>
      </c>
      <c r="E11446" s="5" t="n">
        <v>110.2</v>
      </c>
      <c r="F11446" s="3" t="inlineStr">
        <is>
          <t>전동면</t>
        </is>
      </c>
      <c r="G11446" s="3" t="inlineStr">
        <is>
          <t>노장리</t>
        </is>
      </c>
      <c r="H11446" s="3" t="inlineStr">
        <is>
          <t>계획관리지역</t>
        </is>
      </c>
      <c r="I11446" s="3" t="inlineStr">
        <is>
          <t>답</t>
        </is>
      </c>
      <c r="J11446" s="3" t="inlineStr">
        <is>
          <t>전동면</t>
        </is>
      </c>
    </row>
    <row r="11447">
      <c r="A11447" s="3" t="n">
        <v>2025</v>
      </c>
      <c r="B11447" s="4" t="n">
        <v>1000</v>
      </c>
      <c r="C11447" s="4" t="n">
        <v>52</v>
      </c>
      <c r="D11447" s="4" t="n">
        <v>15.73</v>
      </c>
      <c r="E11447" s="5" t="n">
        <v>63.6</v>
      </c>
      <c r="F11447" s="3" t="inlineStr">
        <is>
          <t>연서면</t>
        </is>
      </c>
      <c r="G11447" s="3" t="inlineStr">
        <is>
          <t>신대리</t>
        </is>
      </c>
      <c r="H11447" s="3" t="inlineStr">
        <is>
          <t>계획관리지역</t>
        </is>
      </c>
      <c r="I11447" s="3" t="inlineStr">
        <is>
          <t>전</t>
        </is>
      </c>
      <c r="J11447" s="3" t="inlineStr">
        <is>
          <t>연서면</t>
        </is>
      </c>
    </row>
    <row r="11448">
      <c r="A11448" s="3" t="n">
        <v>2025</v>
      </c>
      <c r="B11448" s="4" t="n">
        <v>3800</v>
      </c>
      <c r="C11448" s="4" t="n">
        <v>238</v>
      </c>
      <c r="D11448" s="4" t="n">
        <v>71.995</v>
      </c>
      <c r="E11448" s="5" t="n">
        <v>52.8</v>
      </c>
      <c r="F11448" s="3" t="inlineStr">
        <is>
          <t>금남면</t>
        </is>
      </c>
      <c r="G11448" s="3" t="inlineStr">
        <is>
          <t>영곡리</t>
        </is>
      </c>
      <c r="H11448" s="3" t="inlineStr">
        <is>
          <t>생산관리지역</t>
        </is>
      </c>
      <c r="I11448" s="3" t="inlineStr">
        <is>
          <t>전</t>
        </is>
      </c>
      <c r="J11448" s="3" t="inlineStr">
        <is>
          <t>금남면</t>
        </is>
      </c>
    </row>
    <row r="11449">
      <c r="A11449" s="3" t="n">
        <v>2025</v>
      </c>
      <c r="B11449" s="4" t="n">
        <v>900</v>
      </c>
      <c r="C11449" s="4" t="n">
        <v>48</v>
      </c>
      <c r="D11449" s="4" t="n">
        <v>14.52</v>
      </c>
      <c r="E11449" s="5" t="n">
        <v>62</v>
      </c>
      <c r="F11449" s="3" t="inlineStr">
        <is>
          <t>연서면</t>
        </is>
      </c>
      <c r="G11449" s="3" t="inlineStr">
        <is>
          <t>신대리</t>
        </is>
      </c>
      <c r="H11449" s="3" t="inlineStr">
        <is>
          <t>계획관리지역</t>
        </is>
      </c>
      <c r="I11449" s="3" t="inlineStr">
        <is>
          <t>전</t>
        </is>
      </c>
      <c r="J11449" s="3" t="inlineStr">
        <is>
          <t>연서면</t>
        </is>
      </c>
    </row>
    <row r="11450">
      <c r="A11450" s="3" t="n">
        <v>2025</v>
      </c>
      <c r="B11450" s="4" t="n">
        <v>54839</v>
      </c>
      <c r="C11450" s="4" t="n">
        <v>403</v>
      </c>
      <c r="D11450" s="4" t="n">
        <v>121.9075</v>
      </c>
      <c r="E11450" s="5" t="n">
        <v>449.8</v>
      </c>
      <c r="F11450" s="3" t="inlineStr">
        <is>
          <t>연기면</t>
        </is>
      </c>
      <c r="G11450" s="3" t="inlineStr">
        <is>
          <t>연기리</t>
        </is>
      </c>
      <c r="H11450" s="3" t="inlineStr">
        <is>
          <t>계획관리지역</t>
        </is>
      </c>
      <c r="I11450" s="3" t="inlineStr">
        <is>
          <t>답</t>
        </is>
      </c>
      <c r="J11450" s="3" t="inlineStr">
        <is>
          <t>연기면</t>
        </is>
      </c>
    </row>
    <row r="11451">
      <c r="A11451" s="3" t="n">
        <v>2025</v>
      </c>
      <c r="B11451" s="4" t="n">
        <v>1361</v>
      </c>
      <c r="C11451" s="4" t="n">
        <v>10</v>
      </c>
      <c r="D11451" s="4" t="n">
        <v>3.025</v>
      </c>
      <c r="E11451" s="5" t="n">
        <v>449.9</v>
      </c>
      <c r="F11451" s="3" t="inlineStr">
        <is>
          <t>연기면</t>
        </is>
      </c>
      <c r="G11451" s="3" t="inlineStr">
        <is>
          <t>연기리</t>
        </is>
      </c>
      <c r="H11451" s="3" t="inlineStr">
        <is>
          <t>계획관리지역</t>
        </is>
      </c>
      <c r="I11451" s="3" t="inlineStr">
        <is>
          <t>답</t>
        </is>
      </c>
      <c r="J11451" s="3" t="inlineStr">
        <is>
          <t>연기면</t>
        </is>
      </c>
    </row>
    <row r="11452">
      <c r="A11452" s="3" t="n">
        <v>2025</v>
      </c>
      <c r="B11452" s="4" t="n">
        <v>8000</v>
      </c>
      <c r="C11452" s="4" t="n">
        <v>497</v>
      </c>
      <c r="D11452" s="4" t="n">
        <v>150.3425</v>
      </c>
      <c r="E11452" s="5" t="n">
        <v>53.2</v>
      </c>
      <c r="F11452" s="3" t="inlineStr">
        <is>
          <t>전동면</t>
        </is>
      </c>
      <c r="G11452" s="3" t="inlineStr">
        <is>
          <t>봉대리</t>
        </is>
      </c>
      <c r="H11452" s="3" t="inlineStr">
        <is>
          <t>생산관리지역</t>
        </is>
      </c>
      <c r="I11452" s="3" t="inlineStr">
        <is>
          <t>답</t>
        </is>
      </c>
      <c r="J11452" s="3" t="inlineStr">
        <is>
          <t>전동면</t>
        </is>
      </c>
    </row>
    <row r="11453">
      <c r="A11453" s="3" t="n">
        <v>2025</v>
      </c>
      <c r="B11453" s="4" t="n">
        <v>2700</v>
      </c>
      <c r="C11453" s="4" t="n">
        <v>403</v>
      </c>
      <c r="D11453" s="4" t="n">
        <v>121.9075</v>
      </c>
      <c r="E11453" s="5" t="n">
        <v>22.1</v>
      </c>
      <c r="F11453" s="3" t="inlineStr">
        <is>
          <t>전의면</t>
        </is>
      </c>
      <c r="G11453" s="3" t="inlineStr">
        <is>
          <t>유천리</t>
        </is>
      </c>
      <c r="H11453" s="3" t="inlineStr">
        <is>
          <t>계획관리지역</t>
        </is>
      </c>
      <c r="I11453" s="3" t="inlineStr">
        <is>
          <t>임야</t>
        </is>
      </c>
      <c r="J11453" s="3" t="inlineStr">
        <is>
          <t>전의면</t>
        </is>
      </c>
    </row>
    <row r="11454">
      <c r="A11454" s="3" t="n">
        <v>2025</v>
      </c>
      <c r="B11454" s="4" t="n">
        <v>12300</v>
      </c>
      <c r="C11454" s="4" t="n">
        <v>1866</v>
      </c>
      <c r="D11454" s="4" t="n">
        <v>564.465</v>
      </c>
      <c r="E11454" s="5" t="n">
        <v>21.8</v>
      </c>
      <c r="F11454" s="3" t="inlineStr">
        <is>
          <t>전의면</t>
        </is>
      </c>
      <c r="G11454" s="3" t="inlineStr">
        <is>
          <t>유천리</t>
        </is>
      </c>
      <c r="H11454" s="3" t="inlineStr">
        <is>
          <t>계획관리지역</t>
        </is>
      </c>
      <c r="I11454" s="3" t="inlineStr">
        <is>
          <t>임야</t>
        </is>
      </c>
      <c r="J11454" s="3" t="inlineStr">
        <is>
          <t>전의면</t>
        </is>
      </c>
    </row>
    <row r="11455">
      <c r="A11455" s="3" t="n">
        <v>2025</v>
      </c>
      <c r="B11455" s="4" t="n">
        <v>2596</v>
      </c>
      <c r="C11455" s="4" t="n">
        <v>145</v>
      </c>
      <c r="D11455" s="4" t="n">
        <v>43.8625</v>
      </c>
      <c r="E11455" s="5" t="n">
        <v>59.2</v>
      </c>
      <c r="F11455" s="3" t="inlineStr">
        <is>
          <t>연동면</t>
        </is>
      </c>
      <c r="G11455" s="3" t="inlineStr">
        <is>
          <t>송용리</t>
        </is>
      </c>
      <c r="H11455" s="3" t="inlineStr">
        <is>
          <t>계획관리지역</t>
        </is>
      </c>
      <c r="I11455" s="3" t="inlineStr">
        <is>
          <t>임야</t>
        </is>
      </c>
      <c r="J11455" s="3" t="inlineStr">
        <is>
          <t>연동면</t>
        </is>
      </c>
    </row>
    <row r="11456">
      <c r="A11456" s="3" t="n">
        <v>2025</v>
      </c>
      <c r="B11456" s="4" t="n">
        <v>52651</v>
      </c>
      <c r="C11456" s="4" t="n">
        <v>35026</v>
      </c>
      <c r="D11456" s="4" t="n">
        <v>10595.365</v>
      </c>
      <c r="E11456" s="5" t="n">
        <v>5</v>
      </c>
      <c r="F11456" s="3" t="inlineStr">
        <is>
          <t>연서면</t>
        </is>
      </c>
      <c r="G11456" s="3" t="inlineStr">
        <is>
          <t>쌍류리</t>
        </is>
      </c>
      <c r="H11456" s="3" t="inlineStr">
        <is>
          <t>계획관리지역</t>
        </is>
      </c>
      <c r="I11456" s="3" t="inlineStr">
        <is>
          <t>임야</t>
        </is>
      </c>
      <c r="J11456" s="3" t="inlineStr">
        <is>
          <t>연서면</t>
        </is>
      </c>
    </row>
    <row r="11457">
      <c r="A11457" s="3" t="n">
        <v>2025</v>
      </c>
      <c r="B11457" s="4" t="n">
        <v>30500</v>
      </c>
      <c r="C11457" s="4" t="n">
        <v>11163</v>
      </c>
      <c r="D11457" s="4" t="n">
        <v>3376.8075</v>
      </c>
      <c r="E11457" s="5" t="n">
        <v>9</v>
      </c>
      <c r="F11457" s="3" t="inlineStr">
        <is>
          <t>연서면</t>
        </is>
      </c>
      <c r="G11457" s="3" t="inlineStr">
        <is>
          <t>기룡리</t>
        </is>
      </c>
      <c r="H11457" s="3" t="inlineStr">
        <is>
          <t>생산관리지역</t>
        </is>
      </c>
      <c r="I11457" s="3" t="inlineStr">
        <is>
          <t>임야</t>
        </is>
      </c>
      <c r="J11457" s="3" t="inlineStr">
        <is>
          <t>연서면</t>
        </is>
      </c>
    </row>
    <row r="11458">
      <c r="A11458" s="3" t="n">
        <v>2025</v>
      </c>
      <c r="B11458" s="4" t="n">
        <v>370000</v>
      </c>
      <c r="C11458" s="4" t="n">
        <v>6611.6</v>
      </c>
      <c r="D11458" s="4" t="n">
        <v>2000.009</v>
      </c>
      <c r="E11458" s="5" t="n">
        <v>185</v>
      </c>
      <c r="F11458" s="3" t="inlineStr">
        <is>
          <t>전동면</t>
        </is>
      </c>
      <c r="G11458" s="3" t="inlineStr">
        <is>
          <t>심중리</t>
        </is>
      </c>
      <c r="H11458" s="3" t="inlineStr">
        <is>
          <t>일반공업지역</t>
        </is>
      </c>
      <c r="I11458" s="3" t="inlineStr">
        <is>
          <t>공장용지</t>
        </is>
      </c>
      <c r="J11458" s="3" t="inlineStr">
        <is>
          <t>전동면</t>
        </is>
      </c>
    </row>
    <row r="11459">
      <c r="A11459" s="3" t="n">
        <v>2025</v>
      </c>
      <c r="B11459" s="4" t="n">
        <v>3997</v>
      </c>
      <c r="C11459" s="4" t="n">
        <v>1652</v>
      </c>
      <c r="D11459" s="4" t="n">
        <v>499.73</v>
      </c>
      <c r="E11459" s="5" t="n">
        <v>8</v>
      </c>
      <c r="F11459" s="3" t="inlineStr">
        <is>
          <t>전동면</t>
        </is>
      </c>
      <c r="G11459" s="3" t="inlineStr">
        <is>
          <t>심중리</t>
        </is>
      </c>
      <c r="H11459" s="3" t="inlineStr">
        <is>
          <t>자연녹지지역</t>
        </is>
      </c>
      <c r="I11459" s="3" t="inlineStr">
        <is>
          <t>임야</t>
        </is>
      </c>
      <c r="J11459" s="3" t="inlineStr">
        <is>
          <t>전동면</t>
        </is>
      </c>
    </row>
    <row r="11460">
      <c r="A11460" s="3" t="n">
        <v>2025</v>
      </c>
      <c r="B11460" s="4" t="n">
        <v>6000</v>
      </c>
      <c r="C11460" s="4" t="n">
        <v>2480</v>
      </c>
      <c r="D11460" s="4" t="n">
        <v>750.1999999999999</v>
      </c>
      <c r="E11460" s="5" t="n">
        <v>8</v>
      </c>
      <c r="F11460" s="3" t="inlineStr">
        <is>
          <t>전동면</t>
        </is>
      </c>
      <c r="G11460" s="3" t="inlineStr">
        <is>
          <t>심중리</t>
        </is>
      </c>
      <c r="H11460" s="3" t="inlineStr">
        <is>
          <t>계획관리지역</t>
        </is>
      </c>
      <c r="I11460" s="3" t="inlineStr">
        <is>
          <t>임야</t>
        </is>
      </c>
      <c r="J11460" s="3" t="inlineStr">
        <is>
          <t>전동면</t>
        </is>
      </c>
    </row>
    <row r="11461">
      <c r="A11461" s="3" t="n">
        <v>2025</v>
      </c>
      <c r="B11461" s="4" t="n">
        <v>6000</v>
      </c>
      <c r="C11461" s="4" t="n">
        <v>2480</v>
      </c>
      <c r="D11461" s="4" t="n">
        <v>750.1999999999999</v>
      </c>
      <c r="E11461" s="5" t="n">
        <v>8</v>
      </c>
      <c r="F11461" s="3" t="inlineStr">
        <is>
          <t>전동면</t>
        </is>
      </c>
      <c r="G11461" s="3" t="inlineStr">
        <is>
          <t>심중리</t>
        </is>
      </c>
      <c r="H11461" s="3" t="inlineStr">
        <is>
          <t>계획관리지역</t>
        </is>
      </c>
      <c r="I11461" s="3" t="inlineStr">
        <is>
          <t>임야</t>
        </is>
      </c>
      <c r="J11461" s="3" t="inlineStr">
        <is>
          <t>전동면</t>
        </is>
      </c>
    </row>
    <row r="11462">
      <c r="A11462" s="3" t="n">
        <v>2025</v>
      </c>
      <c r="B11462" s="4" t="n">
        <v>25000</v>
      </c>
      <c r="C11462" s="4" t="n">
        <v>1770</v>
      </c>
      <c r="D11462" s="4" t="n">
        <v>535.425</v>
      </c>
      <c r="E11462" s="5" t="n">
        <v>46.7</v>
      </c>
      <c r="F11462" s="3" t="inlineStr">
        <is>
          <t>금남면</t>
        </is>
      </c>
      <c r="G11462" s="3" t="inlineStr">
        <is>
          <t>영치리</t>
        </is>
      </c>
      <c r="H11462" s="3" t="inlineStr">
        <is>
          <t>개발제한구역</t>
        </is>
      </c>
      <c r="I11462" s="3" t="inlineStr">
        <is>
          <t>임야</t>
        </is>
      </c>
      <c r="J11462" s="3" t="inlineStr">
        <is>
          <t>금남면</t>
        </is>
      </c>
    </row>
    <row r="11463">
      <c r="A11463" s="3" t="n">
        <v>2025</v>
      </c>
      <c r="B11463" s="4" t="n">
        <v>2524</v>
      </c>
      <c r="C11463" s="4" t="n">
        <v>1770</v>
      </c>
      <c r="D11463" s="4" t="n">
        <v>535.425</v>
      </c>
      <c r="E11463" s="5" t="n">
        <v>4.7</v>
      </c>
      <c r="F11463" s="3" t="inlineStr">
        <is>
          <t>금남면</t>
        </is>
      </c>
      <c r="G11463" s="3" t="inlineStr">
        <is>
          <t>영치리</t>
        </is>
      </c>
      <c r="H11463" s="3" t="inlineStr">
        <is>
          <t>개발제한구역</t>
        </is>
      </c>
      <c r="I11463" s="3" t="inlineStr">
        <is>
          <t>임야</t>
        </is>
      </c>
      <c r="J11463" s="3" t="inlineStr">
        <is>
          <t>금남면</t>
        </is>
      </c>
    </row>
    <row r="11464">
      <c r="A11464" s="3" t="n">
        <v>2025</v>
      </c>
      <c r="B11464" s="4" t="n">
        <v>24755</v>
      </c>
      <c r="C11464" s="4" t="n">
        <v>17362</v>
      </c>
      <c r="D11464" s="4" t="n">
        <v>5252.005</v>
      </c>
      <c r="E11464" s="5" t="n">
        <v>4.7</v>
      </c>
      <c r="F11464" s="3" t="inlineStr">
        <is>
          <t>금남면</t>
        </is>
      </c>
      <c r="G11464" s="3" t="inlineStr">
        <is>
          <t>영치리</t>
        </is>
      </c>
      <c r="H11464" s="3" t="inlineStr">
        <is>
          <t>자연녹지지역</t>
        </is>
      </c>
      <c r="I11464" s="3" t="inlineStr">
        <is>
          <t>임야</t>
        </is>
      </c>
      <c r="J11464" s="3" t="inlineStr">
        <is>
          <t>금남면</t>
        </is>
      </c>
    </row>
    <row r="11465">
      <c r="A11465" s="3" t="n">
        <v>2025</v>
      </c>
      <c r="B11465" s="4" t="n">
        <v>24068</v>
      </c>
      <c r="C11465" s="4" t="n">
        <v>16880</v>
      </c>
      <c r="D11465" s="4" t="n">
        <v>5106.2</v>
      </c>
      <c r="E11465" s="5" t="n">
        <v>4.7</v>
      </c>
      <c r="F11465" s="3" t="inlineStr">
        <is>
          <t>금남면</t>
        </is>
      </c>
      <c r="G11465" s="3" t="inlineStr">
        <is>
          <t>영치리</t>
        </is>
      </c>
      <c r="H11465" s="3" t="inlineStr">
        <is>
          <t>자연녹지지역</t>
        </is>
      </c>
      <c r="I11465" s="3" t="inlineStr">
        <is>
          <t>임야</t>
        </is>
      </c>
      <c r="J11465" s="3" t="inlineStr">
        <is>
          <t>금남면</t>
        </is>
      </c>
    </row>
    <row r="11466">
      <c r="A11466" s="3" t="n">
        <v>2025</v>
      </c>
      <c r="B11466" s="4" t="n">
        <v>21692</v>
      </c>
      <c r="C11466" s="4" t="n">
        <v>15214</v>
      </c>
      <c r="D11466" s="4" t="n">
        <v>4602.235</v>
      </c>
      <c r="E11466" s="5" t="n">
        <v>4.7</v>
      </c>
      <c r="F11466" s="3" t="inlineStr">
        <is>
          <t>금남면</t>
        </is>
      </c>
      <c r="G11466" s="3" t="inlineStr">
        <is>
          <t>영치리</t>
        </is>
      </c>
      <c r="H11466" s="3" t="inlineStr">
        <is>
          <t>자연녹지지역</t>
        </is>
      </c>
      <c r="I11466" s="3" t="inlineStr">
        <is>
          <t>임야</t>
        </is>
      </c>
      <c r="J11466" s="3" t="inlineStr">
        <is>
          <t>금남면</t>
        </is>
      </c>
    </row>
    <row r="11467">
      <c r="A11467" s="3" t="n">
        <v>2025</v>
      </c>
      <c r="B11467" s="4" t="n">
        <v>26392</v>
      </c>
      <c r="C11467" s="4" t="n">
        <v>18512</v>
      </c>
      <c r="D11467" s="4" t="n">
        <v>5599.88</v>
      </c>
      <c r="E11467" s="5" t="n">
        <v>4.7</v>
      </c>
      <c r="F11467" s="3" t="inlineStr">
        <is>
          <t>금남면</t>
        </is>
      </c>
      <c r="G11467" s="3" t="inlineStr">
        <is>
          <t>영치리</t>
        </is>
      </c>
      <c r="H11467" s="3" t="inlineStr">
        <is>
          <t>자연녹지지역</t>
        </is>
      </c>
      <c r="I11467" s="3" t="inlineStr">
        <is>
          <t>임야</t>
        </is>
      </c>
      <c r="J11467" s="3" t="inlineStr">
        <is>
          <t>금남면</t>
        </is>
      </c>
    </row>
    <row r="11468">
      <c r="A11468" s="3" t="n">
        <v>2025</v>
      </c>
      <c r="B11468" s="4" t="n">
        <v>285</v>
      </c>
      <c r="C11468" s="4" t="n">
        <v>200</v>
      </c>
      <c r="D11468" s="4" t="n">
        <v>60.5</v>
      </c>
      <c r="E11468" s="5" t="n">
        <v>4.7</v>
      </c>
      <c r="F11468" s="3" t="inlineStr">
        <is>
          <t>금남면</t>
        </is>
      </c>
      <c r="G11468" s="3" t="inlineStr">
        <is>
          <t>영치리</t>
        </is>
      </c>
      <c r="H11468" s="3" t="inlineStr">
        <is>
          <t>자연녹지지역</t>
        </is>
      </c>
      <c r="I11468" s="3" t="inlineStr">
        <is>
          <t>임야</t>
        </is>
      </c>
      <c r="J11468" s="3" t="inlineStr">
        <is>
          <t>금남면</t>
        </is>
      </c>
    </row>
    <row r="11469">
      <c r="A11469" s="3" t="n">
        <v>2025</v>
      </c>
      <c r="B11469" s="4" t="n">
        <v>285</v>
      </c>
      <c r="C11469" s="4" t="n">
        <v>200</v>
      </c>
      <c r="D11469" s="4" t="n">
        <v>60.5</v>
      </c>
      <c r="E11469" s="5" t="n">
        <v>4.7</v>
      </c>
      <c r="F11469" s="3" t="inlineStr">
        <is>
          <t>금남면</t>
        </is>
      </c>
      <c r="G11469" s="3" t="inlineStr">
        <is>
          <t>영치리</t>
        </is>
      </c>
      <c r="H11469" s="3" t="inlineStr">
        <is>
          <t>자연녹지지역</t>
        </is>
      </c>
      <c r="I11469" s="3" t="inlineStr">
        <is>
          <t>임야</t>
        </is>
      </c>
      <c r="J11469" s="3" t="inlineStr">
        <is>
          <t>금남면</t>
        </is>
      </c>
    </row>
    <row r="11470">
      <c r="A11470" s="3" t="n">
        <v>2025</v>
      </c>
      <c r="B11470" s="4" t="n">
        <v>21692</v>
      </c>
      <c r="C11470" s="4" t="n">
        <v>15214</v>
      </c>
      <c r="D11470" s="4" t="n">
        <v>4602.235</v>
      </c>
      <c r="E11470" s="5" t="n">
        <v>4.7</v>
      </c>
      <c r="F11470" s="3" t="inlineStr">
        <is>
          <t>금남면</t>
        </is>
      </c>
      <c r="G11470" s="3" t="inlineStr">
        <is>
          <t>영치리</t>
        </is>
      </c>
      <c r="H11470" s="3" t="inlineStr">
        <is>
          <t>자연녹지지역</t>
        </is>
      </c>
      <c r="I11470" s="3" t="inlineStr">
        <is>
          <t>임야</t>
        </is>
      </c>
      <c r="J11470" s="3" t="inlineStr">
        <is>
          <t>금남면</t>
        </is>
      </c>
    </row>
    <row r="11471">
      <c r="A11471" s="3" t="n">
        <v>2025</v>
      </c>
      <c r="B11471" s="4" t="n">
        <v>24068</v>
      </c>
      <c r="C11471" s="4" t="n">
        <v>16880</v>
      </c>
      <c r="D11471" s="4" t="n">
        <v>5106.2</v>
      </c>
      <c r="E11471" s="5" t="n">
        <v>4.7</v>
      </c>
      <c r="F11471" s="3" t="inlineStr">
        <is>
          <t>금남면</t>
        </is>
      </c>
      <c r="G11471" s="3" t="inlineStr">
        <is>
          <t>영치리</t>
        </is>
      </c>
      <c r="H11471" s="3" t="inlineStr">
        <is>
          <t>자연녹지지역</t>
        </is>
      </c>
      <c r="I11471" s="3" t="inlineStr">
        <is>
          <t>임야</t>
        </is>
      </c>
      <c r="J11471" s="3" t="inlineStr">
        <is>
          <t>금남면</t>
        </is>
      </c>
    </row>
    <row r="11472">
      <c r="A11472" s="3" t="n">
        <v>2025</v>
      </c>
      <c r="B11472" s="4" t="n">
        <v>285</v>
      </c>
      <c r="C11472" s="4" t="n">
        <v>200</v>
      </c>
      <c r="D11472" s="4" t="n">
        <v>60.5</v>
      </c>
      <c r="E11472" s="5" t="n">
        <v>4.7</v>
      </c>
      <c r="F11472" s="3" t="inlineStr">
        <is>
          <t>금남면</t>
        </is>
      </c>
      <c r="G11472" s="3" t="inlineStr">
        <is>
          <t>영치리</t>
        </is>
      </c>
      <c r="H11472" s="3" t="inlineStr">
        <is>
          <t>자연녹지지역</t>
        </is>
      </c>
      <c r="I11472" s="3" t="inlineStr">
        <is>
          <t>임야</t>
        </is>
      </c>
      <c r="J11472" s="3" t="inlineStr">
        <is>
          <t>금남면</t>
        </is>
      </c>
    </row>
    <row r="11473">
      <c r="A11473" s="3" t="n">
        <v>2025</v>
      </c>
      <c r="B11473" s="4" t="n">
        <v>285</v>
      </c>
      <c r="C11473" s="4" t="n">
        <v>200</v>
      </c>
      <c r="D11473" s="4" t="n">
        <v>60.5</v>
      </c>
      <c r="E11473" s="5" t="n">
        <v>4.7</v>
      </c>
      <c r="F11473" s="3" t="inlineStr">
        <is>
          <t>금남면</t>
        </is>
      </c>
      <c r="G11473" s="3" t="inlineStr">
        <is>
          <t>영치리</t>
        </is>
      </c>
      <c r="H11473" s="3" t="inlineStr">
        <is>
          <t>자연녹지지역</t>
        </is>
      </c>
      <c r="I11473" s="3" t="inlineStr">
        <is>
          <t>임야</t>
        </is>
      </c>
      <c r="J11473" s="3" t="inlineStr">
        <is>
          <t>금남면</t>
        </is>
      </c>
    </row>
    <row r="11474">
      <c r="A11474" s="3" t="n">
        <v>2025</v>
      </c>
      <c r="B11474" s="4" t="n">
        <v>2524</v>
      </c>
      <c r="C11474" s="4" t="n">
        <v>1770</v>
      </c>
      <c r="D11474" s="4" t="n">
        <v>535.425</v>
      </c>
      <c r="E11474" s="5" t="n">
        <v>4.7</v>
      </c>
      <c r="F11474" s="3" t="inlineStr">
        <is>
          <t>금남면</t>
        </is>
      </c>
      <c r="G11474" s="3" t="inlineStr">
        <is>
          <t>영치리</t>
        </is>
      </c>
      <c r="H11474" s="3" t="inlineStr">
        <is>
          <t>개발제한구역</t>
        </is>
      </c>
      <c r="I11474" s="3" t="inlineStr">
        <is>
          <t>임야</t>
        </is>
      </c>
      <c r="J11474" s="3" t="inlineStr">
        <is>
          <t>금남면</t>
        </is>
      </c>
    </row>
    <row r="11475">
      <c r="A11475" s="3" t="n">
        <v>2025</v>
      </c>
      <c r="B11475" s="4" t="n">
        <v>24755</v>
      </c>
      <c r="C11475" s="4" t="n">
        <v>17362</v>
      </c>
      <c r="D11475" s="4" t="n">
        <v>5252.005</v>
      </c>
      <c r="E11475" s="5" t="n">
        <v>4.7</v>
      </c>
      <c r="F11475" s="3" t="inlineStr">
        <is>
          <t>금남면</t>
        </is>
      </c>
      <c r="G11475" s="3" t="inlineStr">
        <is>
          <t>영치리</t>
        </is>
      </c>
      <c r="H11475" s="3" t="inlineStr">
        <is>
          <t>자연녹지지역</t>
        </is>
      </c>
      <c r="I11475" s="3" t="inlineStr">
        <is>
          <t>임야</t>
        </is>
      </c>
      <c r="J11475" s="3" t="inlineStr">
        <is>
          <t>금남면</t>
        </is>
      </c>
    </row>
    <row r="11476">
      <c r="A11476" s="3" t="n">
        <v>2025</v>
      </c>
      <c r="B11476" s="4" t="n">
        <v>26392</v>
      </c>
      <c r="C11476" s="4" t="n">
        <v>18512</v>
      </c>
      <c r="D11476" s="4" t="n">
        <v>5599.88</v>
      </c>
      <c r="E11476" s="5" t="n">
        <v>4.7</v>
      </c>
      <c r="F11476" s="3" t="inlineStr">
        <is>
          <t>금남면</t>
        </is>
      </c>
      <c r="G11476" s="3" t="inlineStr">
        <is>
          <t>영치리</t>
        </is>
      </c>
      <c r="H11476" s="3" t="inlineStr">
        <is>
          <t>자연녹지지역</t>
        </is>
      </c>
      <c r="I11476" s="3" t="inlineStr">
        <is>
          <t>임야</t>
        </is>
      </c>
      <c r="J11476" s="3" t="inlineStr">
        <is>
          <t>금남면</t>
        </is>
      </c>
    </row>
    <row r="11477">
      <c r="A11477" s="3" t="n">
        <v>2022</v>
      </c>
      <c r="B11477" s="4" t="n">
        <v>1300</v>
      </c>
      <c r="C11477" s="4" t="n">
        <v>24</v>
      </c>
      <c r="D11477" s="4" t="n">
        <v>7.26</v>
      </c>
      <c r="E11477" s="5" t="n">
        <v>179.1</v>
      </c>
      <c r="F11477" s="3" t="inlineStr">
        <is>
          <t>장군면</t>
        </is>
      </c>
      <c r="G11477" s="3" t="inlineStr">
        <is>
          <t>대교리</t>
        </is>
      </c>
      <c r="H11477" s="3" t="inlineStr">
        <is>
          <t>계획관리지역</t>
        </is>
      </c>
      <c r="I11477" s="3" t="inlineStr">
        <is>
          <t>답</t>
        </is>
      </c>
      <c r="J11477" s="3" t="inlineStr">
        <is>
          <t>장군면</t>
        </is>
      </c>
    </row>
    <row r="11478">
      <c r="A11478" s="3" t="n">
        <v>2022</v>
      </c>
      <c r="B11478" s="4" t="n">
        <v>1300</v>
      </c>
      <c r="C11478" s="4" t="n">
        <v>24</v>
      </c>
      <c r="D11478" s="4" t="n">
        <v>7.26</v>
      </c>
      <c r="E11478" s="5" t="n">
        <v>179.1</v>
      </c>
      <c r="F11478" s="3" t="inlineStr">
        <is>
          <t>장군면</t>
        </is>
      </c>
      <c r="G11478" s="3" t="inlineStr">
        <is>
          <t>대교리</t>
        </is>
      </c>
      <c r="H11478" s="3" t="inlineStr">
        <is>
          <t>계획관리지역</t>
        </is>
      </c>
      <c r="I11478" s="3" t="inlineStr">
        <is>
          <t>답</t>
        </is>
      </c>
      <c r="J11478" s="3" t="inlineStr">
        <is>
          <t>장군면</t>
        </is>
      </c>
    </row>
    <row r="11479">
      <c r="A11479" s="3" t="n">
        <v>2022</v>
      </c>
      <c r="B11479" s="4" t="n">
        <v>5480</v>
      </c>
      <c r="C11479" s="4" t="n">
        <v>48</v>
      </c>
      <c r="D11479" s="4" t="n">
        <v>14.52</v>
      </c>
      <c r="E11479" s="5" t="n">
        <v>377.4</v>
      </c>
      <c r="F11479" s="3" t="inlineStr">
        <is>
          <t>조치원읍</t>
        </is>
      </c>
      <c r="G11479" s="3" t="inlineStr">
        <is>
          <t>번암리</t>
        </is>
      </c>
      <c r="H11479" s="3" t="inlineStr">
        <is>
          <t>일반공업지역</t>
        </is>
      </c>
      <c r="I11479" s="3" t="inlineStr">
        <is>
          <t>잡종지</t>
        </is>
      </c>
      <c r="J11479" s="3" t="inlineStr">
        <is>
          <t>조치원읍</t>
        </is>
      </c>
    </row>
    <row r="11480">
      <c r="A11480" s="3" t="n">
        <v>2022</v>
      </c>
      <c r="B11480" s="4" t="n">
        <v>16100</v>
      </c>
      <c r="C11480" s="4" t="n">
        <v>141</v>
      </c>
      <c r="D11480" s="4" t="n">
        <v>42.6525</v>
      </c>
      <c r="E11480" s="5" t="n">
        <v>377.5</v>
      </c>
      <c r="F11480" s="3" t="inlineStr">
        <is>
          <t>조치원읍</t>
        </is>
      </c>
      <c r="G11480" s="3" t="inlineStr">
        <is>
          <t>번암리</t>
        </is>
      </c>
      <c r="H11480" s="3" t="inlineStr">
        <is>
          <t>일반공업지역</t>
        </is>
      </c>
      <c r="I11480" s="3" t="inlineStr">
        <is>
          <t>잡종지</t>
        </is>
      </c>
      <c r="J11480" s="3" t="inlineStr">
        <is>
          <t>조치원읍</t>
        </is>
      </c>
    </row>
    <row r="11481">
      <c r="A11481" s="3" t="n">
        <v>2022</v>
      </c>
      <c r="B11481" s="4" t="n">
        <v>920</v>
      </c>
      <c r="C11481" s="4" t="n">
        <v>8</v>
      </c>
      <c r="D11481" s="4" t="n">
        <v>2.42</v>
      </c>
      <c r="E11481" s="5" t="n">
        <v>380.2</v>
      </c>
      <c r="F11481" s="3" t="inlineStr">
        <is>
          <t>조치원읍</t>
        </is>
      </c>
      <c r="G11481" s="3" t="inlineStr">
        <is>
          <t>번암리</t>
        </is>
      </c>
      <c r="H11481" s="3" t="inlineStr">
        <is>
          <t>일반공업지역</t>
        </is>
      </c>
      <c r="I11481" s="3" t="inlineStr">
        <is>
          <t>잡종지</t>
        </is>
      </c>
      <c r="J11481" s="3" t="inlineStr">
        <is>
          <t>조치원읍</t>
        </is>
      </c>
    </row>
    <row r="11482">
      <c r="A11482" s="3" t="n">
        <v>2022</v>
      </c>
      <c r="B11482" s="4" t="n">
        <v>13023</v>
      </c>
      <c r="C11482" s="4" t="n">
        <v>105</v>
      </c>
      <c r="D11482" s="4" t="n">
        <v>31.7625</v>
      </c>
      <c r="E11482" s="5" t="n">
        <v>410</v>
      </c>
      <c r="F11482" s="3" t="inlineStr">
        <is>
          <t>조치원읍</t>
        </is>
      </c>
      <c r="G11482" s="3" t="inlineStr">
        <is>
          <t>서창리</t>
        </is>
      </c>
      <c r="H11482" s="3" t="inlineStr">
        <is>
          <t>제1종일반주거지역</t>
        </is>
      </c>
      <c r="I11482" s="3" t="inlineStr">
        <is>
          <t>답</t>
        </is>
      </c>
      <c r="J11482" s="3" t="inlineStr">
        <is>
          <t>조치원읍</t>
        </is>
      </c>
    </row>
    <row r="11483">
      <c r="A11483" s="3" t="n">
        <v>2022</v>
      </c>
      <c r="B11483" s="4" t="n">
        <v>248</v>
      </c>
      <c r="C11483" s="4" t="n">
        <v>2</v>
      </c>
      <c r="D11483" s="4" t="n">
        <v>0.605</v>
      </c>
      <c r="E11483" s="5" t="n">
        <v>409.9</v>
      </c>
      <c r="F11483" s="3" t="inlineStr">
        <is>
          <t>조치원읍</t>
        </is>
      </c>
      <c r="G11483" s="3" t="inlineStr">
        <is>
          <t>서창리</t>
        </is>
      </c>
      <c r="H11483" s="3" t="inlineStr">
        <is>
          <t>제1종일반주거지역</t>
        </is>
      </c>
      <c r="I11483" s="3" t="inlineStr">
        <is>
          <t>답</t>
        </is>
      </c>
      <c r="J11483" s="3" t="inlineStr">
        <is>
          <t>조치원읍</t>
        </is>
      </c>
    </row>
    <row r="11484">
      <c r="A11484" s="3" t="n">
        <v>2022</v>
      </c>
      <c r="B11484" s="4" t="n">
        <v>14883</v>
      </c>
      <c r="C11484" s="4" t="n">
        <v>120</v>
      </c>
      <c r="D11484" s="4" t="n">
        <v>36.3</v>
      </c>
      <c r="E11484" s="5" t="n">
        <v>410</v>
      </c>
      <c r="F11484" s="3" t="inlineStr">
        <is>
          <t>조치원읍</t>
        </is>
      </c>
      <c r="G11484" s="3" t="inlineStr">
        <is>
          <t>서창리</t>
        </is>
      </c>
      <c r="H11484" s="3" t="inlineStr">
        <is>
          <t>제1종전용주거지역</t>
        </is>
      </c>
      <c r="I11484" s="3" t="inlineStr">
        <is>
          <t>답</t>
        </is>
      </c>
      <c r="J11484" s="3" t="inlineStr">
        <is>
          <t>조치원읍</t>
        </is>
      </c>
    </row>
    <row r="11485">
      <c r="A11485" s="3" t="n">
        <v>2022</v>
      </c>
      <c r="B11485" s="4" t="n">
        <v>7566</v>
      </c>
      <c r="C11485" s="4" t="n">
        <v>61</v>
      </c>
      <c r="D11485" s="4" t="n">
        <v>18.4525</v>
      </c>
      <c r="E11485" s="5" t="n">
        <v>410</v>
      </c>
      <c r="F11485" s="3" t="inlineStr">
        <is>
          <t>조치원읍</t>
        </is>
      </c>
      <c r="G11485" s="3" t="inlineStr">
        <is>
          <t>서창리</t>
        </is>
      </c>
      <c r="H11485" s="3" t="inlineStr">
        <is>
          <t>제1종일반주거지역</t>
        </is>
      </c>
      <c r="I11485" s="3" t="inlineStr">
        <is>
          <t>답</t>
        </is>
      </c>
      <c r="J11485" s="3" t="inlineStr">
        <is>
          <t>조치원읍</t>
        </is>
      </c>
    </row>
    <row r="11486">
      <c r="A11486" s="3" t="n">
        <v>2022</v>
      </c>
      <c r="B11486" s="4" t="n">
        <v>33239</v>
      </c>
      <c r="C11486" s="4" t="n">
        <v>268</v>
      </c>
      <c r="D11486" s="4" t="n">
        <v>81.06999999999999</v>
      </c>
      <c r="E11486" s="5" t="n">
        <v>410</v>
      </c>
      <c r="F11486" s="3" t="inlineStr">
        <is>
          <t>조치원읍</t>
        </is>
      </c>
      <c r="G11486" s="3" t="inlineStr">
        <is>
          <t>서창리</t>
        </is>
      </c>
      <c r="H11486" s="3" t="inlineStr">
        <is>
          <t>제1종전용주거지역</t>
        </is>
      </c>
      <c r="I11486" s="3" t="inlineStr">
        <is>
          <t>답</t>
        </is>
      </c>
      <c r="J11486" s="3" t="inlineStr">
        <is>
          <t>조치원읍</t>
        </is>
      </c>
    </row>
    <row r="11487">
      <c r="A11487" s="3" t="n">
        <v>2022</v>
      </c>
      <c r="B11487" s="4" t="n">
        <v>49000</v>
      </c>
      <c r="C11487" s="4" t="n">
        <v>3613</v>
      </c>
      <c r="D11487" s="4" t="n">
        <v>1092.9325</v>
      </c>
      <c r="E11487" s="5" t="n">
        <v>44.8</v>
      </c>
      <c r="F11487" s="3" t="inlineStr">
        <is>
          <t>전의면</t>
        </is>
      </c>
      <c r="G11487" s="3" t="inlineStr">
        <is>
          <t>금사리</t>
        </is>
      </c>
      <c r="H11487" s="3" t="inlineStr">
        <is>
          <t>생산관리지역</t>
        </is>
      </c>
      <c r="I11487" s="3" t="inlineStr">
        <is>
          <t>답</t>
        </is>
      </c>
      <c r="J11487" s="3" t="inlineStr">
        <is>
          <t>전의면</t>
        </is>
      </c>
    </row>
    <row r="11488">
      <c r="A11488" s="3" t="n">
        <v>2022</v>
      </c>
      <c r="B11488" s="4" t="n">
        <v>41000</v>
      </c>
      <c r="C11488" s="4" t="n">
        <v>3061</v>
      </c>
      <c r="D11488" s="4" t="n">
        <v>925.9525</v>
      </c>
      <c r="E11488" s="5" t="n">
        <v>44.3</v>
      </c>
      <c r="F11488" s="3" t="inlineStr">
        <is>
          <t>전의면</t>
        </is>
      </c>
      <c r="G11488" s="3" t="inlineStr">
        <is>
          <t>금사리</t>
        </is>
      </c>
      <c r="H11488" s="3" t="inlineStr">
        <is>
          <t>생산관리지역</t>
        </is>
      </c>
      <c r="I11488" s="3" t="inlineStr">
        <is>
          <t>답</t>
        </is>
      </c>
      <c r="J11488" s="3" t="inlineStr">
        <is>
          <t>전의면</t>
        </is>
      </c>
    </row>
    <row r="11489">
      <c r="A11489" s="3" t="n">
        <v>2022</v>
      </c>
      <c r="B11489" s="4" t="n">
        <v>164476</v>
      </c>
      <c r="C11489" s="4" t="n">
        <v>10456</v>
      </c>
      <c r="D11489" s="4" t="n">
        <v>3162.94</v>
      </c>
      <c r="E11489" s="5" t="n">
        <v>52</v>
      </c>
      <c r="F11489" s="3" t="inlineStr">
        <is>
          <t>연동면</t>
        </is>
      </c>
      <c r="G11489" s="3" t="inlineStr">
        <is>
          <t>응암리</t>
        </is>
      </c>
      <c r="H11489" s="3" t="inlineStr">
        <is>
          <t>계획관리지역</t>
        </is>
      </c>
      <c r="I11489" s="3" t="inlineStr">
        <is>
          <t>임야</t>
        </is>
      </c>
      <c r="J11489" s="3" t="inlineStr">
        <is>
          <t>연동면</t>
        </is>
      </c>
    </row>
    <row r="11490">
      <c r="A11490" s="3" t="n">
        <v>2023</v>
      </c>
      <c r="B11490" s="4" t="n">
        <v>44000</v>
      </c>
      <c r="C11490" s="4" t="n">
        <v>1322</v>
      </c>
      <c r="D11490" s="4" t="n">
        <v>399.905</v>
      </c>
      <c r="E11490" s="5" t="n">
        <v>110</v>
      </c>
      <c r="F11490" s="3" t="inlineStr">
        <is>
          <t>금남면</t>
        </is>
      </c>
      <c r="G11490" s="3" t="inlineStr">
        <is>
          <t>영곡리</t>
        </is>
      </c>
      <c r="H11490" s="3" t="inlineStr">
        <is>
          <t>생산관리지역</t>
        </is>
      </c>
      <c r="I11490" s="3" t="inlineStr">
        <is>
          <t>전</t>
        </is>
      </c>
      <c r="J11490" s="3" t="inlineStr">
        <is>
          <t>금남면</t>
        </is>
      </c>
    </row>
    <row r="11491">
      <c r="A11491" s="3" t="n">
        <v>2023</v>
      </c>
      <c r="B11491" s="4" t="n">
        <v>30000</v>
      </c>
      <c r="C11491" s="4" t="n">
        <v>1702</v>
      </c>
      <c r="D11491" s="4" t="n">
        <v>514.855</v>
      </c>
      <c r="E11491" s="5" t="n">
        <v>58.3</v>
      </c>
      <c r="F11491" s="3" t="inlineStr">
        <is>
          <t>장군면</t>
        </is>
      </c>
      <c r="G11491" s="3" t="inlineStr">
        <is>
          <t>도계리</t>
        </is>
      </c>
      <c r="H11491" s="3" t="inlineStr">
        <is>
          <t>보전관리지역</t>
        </is>
      </c>
      <c r="I11491" s="3" t="inlineStr">
        <is>
          <t>임야</t>
        </is>
      </c>
      <c r="J11491" s="3" t="inlineStr">
        <is>
          <t>장군면</t>
        </is>
      </c>
    </row>
    <row r="11492">
      <c r="A11492" s="3" t="n">
        <v>2023</v>
      </c>
      <c r="B11492" s="4" t="n">
        <v>31050</v>
      </c>
      <c r="C11492" s="4" t="n">
        <v>661</v>
      </c>
      <c r="D11492" s="4" t="n">
        <v>199.9525</v>
      </c>
      <c r="E11492" s="5" t="n">
        <v>155.3</v>
      </c>
      <c r="F11492" s="3" t="inlineStr">
        <is>
          <t>전의면</t>
        </is>
      </c>
      <c r="G11492" s="3" t="inlineStr">
        <is>
          <t>신흥리</t>
        </is>
      </c>
      <c r="H11492" s="3" t="inlineStr">
        <is>
          <t>계획관리지역</t>
        </is>
      </c>
      <c r="I11492" s="3" t="inlineStr">
        <is>
          <t>전</t>
        </is>
      </c>
      <c r="J11492" s="3" t="inlineStr">
        <is>
          <t>전의면</t>
        </is>
      </c>
    </row>
    <row r="11493">
      <c r="A11493" s="3" t="n">
        <v>2023</v>
      </c>
      <c r="B11493" s="4" t="n">
        <v>10000</v>
      </c>
      <c r="C11493" s="4" t="n">
        <v>661</v>
      </c>
      <c r="D11493" s="4" t="n">
        <v>199.9525</v>
      </c>
      <c r="E11493" s="5" t="n">
        <v>50</v>
      </c>
      <c r="F11493" s="3" t="inlineStr">
        <is>
          <t>전의면</t>
        </is>
      </c>
      <c r="G11493" s="3" t="inlineStr">
        <is>
          <t>동교리</t>
        </is>
      </c>
      <c r="H11493" s="3" t="inlineStr">
        <is>
          <t>자연녹지지역</t>
        </is>
      </c>
      <c r="I11493" s="3" t="inlineStr">
        <is>
          <t>임야</t>
        </is>
      </c>
      <c r="J11493" s="3" t="inlineStr">
        <is>
          <t>전의면</t>
        </is>
      </c>
    </row>
    <row r="11494">
      <c r="A11494" s="3" t="n">
        <v>2023</v>
      </c>
      <c r="B11494" s="4" t="n">
        <v>27973</v>
      </c>
      <c r="C11494" s="4" t="n">
        <v>401</v>
      </c>
      <c r="D11494" s="4" t="n">
        <v>121.3025</v>
      </c>
      <c r="E11494" s="5" t="n">
        <v>230.6</v>
      </c>
      <c r="F11494" s="3" t="inlineStr">
        <is>
          <t>장군면</t>
        </is>
      </c>
      <c r="G11494" s="3" t="inlineStr">
        <is>
          <t>봉안리</t>
        </is>
      </c>
      <c r="H11494" s="3" t="inlineStr">
        <is>
          <t>생산관리지역</t>
        </is>
      </c>
      <c r="I11494" s="3" t="inlineStr">
        <is>
          <t>답</t>
        </is>
      </c>
      <c r="J11494" s="3" t="inlineStr">
        <is>
          <t>장군면</t>
        </is>
      </c>
    </row>
    <row r="11495">
      <c r="A11495" s="3" t="n">
        <v>2023</v>
      </c>
      <c r="B11495" s="4" t="n">
        <v>29578</v>
      </c>
      <c r="C11495" s="4" t="n">
        <v>424</v>
      </c>
      <c r="D11495" s="4" t="n">
        <v>128.26</v>
      </c>
      <c r="E11495" s="5" t="n">
        <v>230.6</v>
      </c>
      <c r="F11495" s="3" t="inlineStr">
        <is>
          <t>장군면</t>
        </is>
      </c>
      <c r="G11495" s="3" t="inlineStr">
        <is>
          <t>봉안리</t>
        </is>
      </c>
      <c r="H11495" s="3" t="inlineStr">
        <is>
          <t>생산관리지역</t>
        </is>
      </c>
      <c r="I11495" s="3" t="inlineStr">
        <is>
          <t>임야</t>
        </is>
      </c>
      <c r="J11495" s="3" t="inlineStr">
        <is>
          <t>장군면</t>
        </is>
      </c>
    </row>
    <row r="11496">
      <c r="A11496" s="3" t="n">
        <v>2023</v>
      </c>
      <c r="B11496" s="4" t="n">
        <v>98930</v>
      </c>
      <c r="C11496" s="4" t="n">
        <v>2348</v>
      </c>
      <c r="D11496" s="4" t="n">
        <v>710.27</v>
      </c>
      <c r="E11496" s="5" t="n">
        <v>139.3</v>
      </c>
      <c r="F11496" s="3" t="inlineStr">
        <is>
          <t>장군면</t>
        </is>
      </c>
      <c r="G11496" s="3" t="inlineStr">
        <is>
          <t>봉안리</t>
        </is>
      </c>
      <c r="H11496" s="3" t="inlineStr">
        <is>
          <t>생산관리지역</t>
        </is>
      </c>
      <c r="I11496" s="3" t="inlineStr">
        <is>
          <t>임야</t>
        </is>
      </c>
      <c r="J11496" s="3" t="inlineStr">
        <is>
          <t>장군면</t>
        </is>
      </c>
    </row>
    <row r="11497">
      <c r="A11497" s="3" t="n">
        <v>2023</v>
      </c>
      <c r="B11497" s="4" t="n">
        <v>18600</v>
      </c>
      <c r="C11497" s="4" t="n">
        <v>2674</v>
      </c>
      <c r="D11497" s="4" t="n">
        <v>808.885</v>
      </c>
      <c r="E11497" s="5" t="n">
        <v>23</v>
      </c>
      <c r="F11497" s="3" t="inlineStr">
        <is>
          <t>부강면</t>
        </is>
      </c>
      <c r="G11497" s="3" t="inlineStr">
        <is>
          <t>행산리</t>
        </is>
      </c>
      <c r="H11497" s="3" t="inlineStr">
        <is>
          <t>생산관리지역</t>
        </is>
      </c>
      <c r="I11497" s="3" t="inlineStr">
        <is>
          <t>답</t>
        </is>
      </c>
      <c r="J11497" s="3" t="inlineStr">
        <is>
          <t>부강면</t>
        </is>
      </c>
    </row>
    <row r="11498">
      <c r="A11498" s="3" t="n">
        <v>2023</v>
      </c>
      <c r="B11498" s="4" t="n">
        <v>20330</v>
      </c>
      <c r="C11498" s="4" t="n">
        <v>2922</v>
      </c>
      <c r="D11498" s="4" t="n">
        <v>883.905</v>
      </c>
      <c r="E11498" s="5" t="n">
        <v>23</v>
      </c>
      <c r="F11498" s="3" t="inlineStr">
        <is>
          <t>부강면</t>
        </is>
      </c>
      <c r="G11498" s="3" t="inlineStr">
        <is>
          <t>행산리</t>
        </is>
      </c>
      <c r="H11498" s="3" t="inlineStr">
        <is>
          <t>생산관리지역</t>
        </is>
      </c>
      <c r="I11498" s="3" t="inlineStr">
        <is>
          <t>답</t>
        </is>
      </c>
      <c r="J11498" s="3" t="inlineStr">
        <is>
          <t>부강면</t>
        </is>
      </c>
    </row>
    <row r="11499">
      <c r="A11499" s="3" t="n">
        <v>2023</v>
      </c>
      <c r="B11499" s="4" t="n">
        <v>12570</v>
      </c>
      <c r="C11499" s="4" t="n">
        <v>1804</v>
      </c>
      <c r="D11499" s="4" t="n">
        <v>545.71</v>
      </c>
      <c r="E11499" s="5" t="n">
        <v>23</v>
      </c>
      <c r="F11499" s="3" t="inlineStr">
        <is>
          <t>부강면</t>
        </is>
      </c>
      <c r="G11499" s="3" t="inlineStr">
        <is>
          <t>행산리</t>
        </is>
      </c>
      <c r="H11499" s="3" t="inlineStr">
        <is>
          <t>보전관리지역</t>
        </is>
      </c>
      <c r="I11499" s="3" t="inlineStr">
        <is>
          <t>답</t>
        </is>
      </c>
      <c r="J11499" s="3" t="inlineStr">
        <is>
          <t>부강면</t>
        </is>
      </c>
    </row>
    <row r="11500">
      <c r="A11500" s="3" t="n">
        <v>2023</v>
      </c>
      <c r="B11500" s="4" t="n">
        <v>18500</v>
      </c>
      <c r="C11500" s="4" t="n">
        <v>2659</v>
      </c>
      <c r="D11500" s="4" t="n">
        <v>804.3475</v>
      </c>
      <c r="E11500" s="5" t="n">
        <v>23</v>
      </c>
      <c r="F11500" s="3" t="inlineStr">
        <is>
          <t>부강면</t>
        </is>
      </c>
      <c r="G11500" s="3" t="inlineStr">
        <is>
          <t>행산리</t>
        </is>
      </c>
      <c r="H11500" s="3" t="inlineStr">
        <is>
          <t>보전관리지역</t>
        </is>
      </c>
      <c r="I11500" s="3" t="inlineStr">
        <is>
          <t>전</t>
        </is>
      </c>
      <c r="J11500" s="3" t="inlineStr">
        <is>
          <t>부강면</t>
        </is>
      </c>
    </row>
    <row r="11501">
      <c r="A11501" s="3" t="n">
        <v>2023</v>
      </c>
      <c r="B11501" s="4" t="n">
        <v>1000</v>
      </c>
      <c r="C11501" s="4" t="n">
        <v>17</v>
      </c>
      <c r="D11501" s="4" t="n">
        <v>5.1425</v>
      </c>
      <c r="E11501" s="5" t="n">
        <v>194.5</v>
      </c>
      <c r="F11501" s="3" t="inlineStr">
        <is>
          <t>금남면</t>
        </is>
      </c>
      <c r="G11501" s="3" t="inlineStr">
        <is>
          <t>성강리</t>
        </is>
      </c>
      <c r="H11501" s="3" t="inlineStr">
        <is>
          <t>농림지역</t>
        </is>
      </c>
      <c r="I11501" s="3" t="inlineStr">
        <is>
          <t>답</t>
        </is>
      </c>
      <c r="J11501" s="3" t="inlineStr">
        <is>
          <t>금남면</t>
        </is>
      </c>
    </row>
    <row r="11502">
      <c r="A11502" s="3" t="n">
        <v>2023</v>
      </c>
      <c r="B11502" s="4" t="n">
        <v>1972</v>
      </c>
      <c r="C11502" s="4" t="n">
        <v>26</v>
      </c>
      <c r="D11502" s="4" t="n">
        <v>7.865</v>
      </c>
      <c r="E11502" s="5" t="n">
        <v>250.7</v>
      </c>
      <c r="F11502" s="3" t="inlineStr">
        <is>
          <t>전의면</t>
        </is>
      </c>
      <c r="G11502" s="3" t="inlineStr">
        <is>
          <t>동교리</t>
        </is>
      </c>
      <c r="H11502" s="3" t="inlineStr">
        <is>
          <t>제1종일반주거지역</t>
        </is>
      </c>
      <c r="I11502" s="3" t="inlineStr">
        <is>
          <t>대</t>
        </is>
      </c>
      <c r="J11502" s="3" t="inlineStr">
        <is>
          <t>전의면</t>
        </is>
      </c>
    </row>
    <row r="11503">
      <c r="A11503" s="3" t="n">
        <v>2023</v>
      </c>
      <c r="B11503" s="4" t="n">
        <v>1646</v>
      </c>
      <c r="C11503" s="4" t="n">
        <v>43.3</v>
      </c>
      <c r="D11503" s="4" t="n">
        <v>13.09825</v>
      </c>
      <c r="E11503" s="5" t="n">
        <v>125.7</v>
      </c>
      <c r="F11503" s="3" t="inlineStr">
        <is>
          <t>전의면</t>
        </is>
      </c>
      <c r="G11503" s="3" t="inlineStr">
        <is>
          <t>동교리</t>
        </is>
      </c>
      <c r="H11503" s="3" t="inlineStr">
        <is>
          <t>제1종일반주거지역</t>
        </is>
      </c>
      <c r="I11503" s="3" t="inlineStr">
        <is>
          <t>도로</t>
        </is>
      </c>
      <c r="J11503" s="3" t="inlineStr">
        <is>
          <t>전의면</t>
        </is>
      </c>
    </row>
    <row r="11504">
      <c r="A11504" s="3" t="n">
        <v>2023</v>
      </c>
      <c r="B11504" s="4" t="n">
        <v>3226</v>
      </c>
      <c r="C11504" s="4" t="n">
        <v>82.2</v>
      </c>
      <c r="D11504" s="4" t="n">
        <v>24.8655</v>
      </c>
      <c r="E11504" s="5" t="n">
        <v>129.7</v>
      </c>
      <c r="F11504" s="3" t="inlineStr">
        <is>
          <t>전의면</t>
        </is>
      </c>
      <c r="G11504" s="3" t="inlineStr">
        <is>
          <t>동교리</t>
        </is>
      </c>
      <c r="H11504" s="3" t="inlineStr">
        <is>
          <t>제1종일반주거지역</t>
        </is>
      </c>
      <c r="I11504" s="3" t="inlineStr">
        <is>
          <t>도로</t>
        </is>
      </c>
      <c r="J11504" s="3" t="inlineStr">
        <is>
          <t>전의면</t>
        </is>
      </c>
    </row>
    <row r="11505">
      <c r="A11505" s="3" t="n">
        <v>2023</v>
      </c>
      <c r="B11505" s="4" t="n">
        <v>1269</v>
      </c>
      <c r="C11505" s="4" t="n">
        <v>18</v>
      </c>
      <c r="D11505" s="4" t="n">
        <v>5.445</v>
      </c>
      <c r="E11505" s="5" t="n">
        <v>233.1</v>
      </c>
      <c r="F11505" s="3" t="inlineStr">
        <is>
          <t>전의면</t>
        </is>
      </c>
      <c r="G11505" s="3" t="inlineStr">
        <is>
          <t>동교리</t>
        </is>
      </c>
      <c r="H11505" s="3" t="inlineStr">
        <is>
          <t>제1종일반주거지역</t>
        </is>
      </c>
      <c r="I11505" s="3" t="inlineStr">
        <is>
          <t>도로</t>
        </is>
      </c>
      <c r="J11505" s="3" t="inlineStr">
        <is>
          <t>전의면</t>
        </is>
      </c>
    </row>
    <row r="11506">
      <c r="A11506" s="3" t="n">
        <v>2023</v>
      </c>
      <c r="B11506" s="4" t="n">
        <v>12523</v>
      </c>
      <c r="C11506" s="4" t="n">
        <v>269</v>
      </c>
      <c r="D11506" s="4" t="n">
        <v>81.3725</v>
      </c>
      <c r="E11506" s="5" t="n">
        <v>153.9</v>
      </c>
      <c r="F11506" s="3" t="inlineStr">
        <is>
          <t>전의면</t>
        </is>
      </c>
      <c r="G11506" s="3" t="inlineStr">
        <is>
          <t>동교리</t>
        </is>
      </c>
      <c r="H11506" s="3" t="inlineStr">
        <is>
          <t>제1종일반주거지역</t>
        </is>
      </c>
      <c r="I11506" s="3" t="inlineStr">
        <is>
          <t>대</t>
        </is>
      </c>
      <c r="J11506" s="3" t="inlineStr">
        <is>
          <t>전의면</t>
        </is>
      </c>
    </row>
    <row r="11507">
      <c r="A11507" s="3" t="n">
        <v>2023</v>
      </c>
      <c r="B11507" s="4" t="n">
        <v>12477</v>
      </c>
      <c r="C11507" s="4" t="n">
        <v>268</v>
      </c>
      <c r="D11507" s="4" t="n">
        <v>81.06999999999999</v>
      </c>
      <c r="E11507" s="5" t="n">
        <v>153.9</v>
      </c>
      <c r="F11507" s="3" t="inlineStr">
        <is>
          <t>전의면</t>
        </is>
      </c>
      <c r="G11507" s="3" t="inlineStr">
        <is>
          <t>동교리</t>
        </is>
      </c>
      <c r="H11507" s="3" t="inlineStr">
        <is>
          <t>제1종일반주거지역</t>
        </is>
      </c>
      <c r="I11507" s="3" t="inlineStr">
        <is>
          <t>대</t>
        </is>
      </c>
      <c r="J11507" s="3" t="inlineStr">
        <is>
          <t>전의면</t>
        </is>
      </c>
    </row>
    <row r="11508">
      <c r="A11508" s="3" t="n">
        <v>2023</v>
      </c>
      <c r="B11508" s="4" t="n">
        <v>70500</v>
      </c>
      <c r="C11508" s="4" t="n">
        <v>2324</v>
      </c>
      <c r="D11508" s="4" t="n">
        <v>703.01</v>
      </c>
      <c r="E11508" s="5" t="n">
        <v>100.3</v>
      </c>
      <c r="F11508" s="3" t="inlineStr">
        <is>
          <t>연서면</t>
        </is>
      </c>
      <c r="G11508" s="3" t="inlineStr">
        <is>
          <t>신대리</t>
        </is>
      </c>
      <c r="H11508" s="3" t="inlineStr">
        <is>
          <t>계획관리지역</t>
        </is>
      </c>
      <c r="I11508" s="3" t="inlineStr">
        <is>
          <t>답</t>
        </is>
      </c>
      <c r="J11508" s="3" t="inlineStr">
        <is>
          <t>연서면</t>
        </is>
      </c>
    </row>
    <row r="11509">
      <c r="A11509" s="3" t="n">
        <v>2023</v>
      </c>
      <c r="B11509" s="4" t="n">
        <v>14500</v>
      </c>
      <c r="C11509" s="4" t="n">
        <v>466</v>
      </c>
      <c r="D11509" s="4" t="n">
        <v>140.965</v>
      </c>
      <c r="E11509" s="5" t="n">
        <v>102.9</v>
      </c>
      <c r="F11509" s="3" t="inlineStr">
        <is>
          <t>연서면</t>
        </is>
      </c>
      <c r="G11509" s="3" t="inlineStr">
        <is>
          <t>신대리</t>
        </is>
      </c>
      <c r="H11509" s="3" t="inlineStr">
        <is>
          <t>계획관리지역</t>
        </is>
      </c>
      <c r="I11509" s="3" t="inlineStr">
        <is>
          <t>전</t>
        </is>
      </c>
      <c r="J11509" s="3" t="inlineStr">
        <is>
          <t>연서면</t>
        </is>
      </c>
    </row>
    <row r="11510">
      <c r="A11510" s="3" t="n">
        <v>2023</v>
      </c>
      <c r="B11510" s="4" t="n">
        <v>22000</v>
      </c>
      <c r="C11510" s="4" t="n">
        <v>1406</v>
      </c>
      <c r="D11510" s="4" t="n">
        <v>425.315</v>
      </c>
      <c r="E11510" s="5" t="n">
        <v>51.7</v>
      </c>
      <c r="F11510" s="3" t="inlineStr">
        <is>
          <t>부강면</t>
        </is>
      </c>
      <c r="G11510" s="3" t="inlineStr">
        <is>
          <t>금호리</t>
        </is>
      </c>
      <c r="H11510" s="3" t="inlineStr">
        <is>
          <t>계획관리지역</t>
        </is>
      </c>
      <c r="I11510" s="3" t="inlineStr">
        <is>
          <t>임야</t>
        </is>
      </c>
      <c r="J11510" s="3" t="inlineStr">
        <is>
          <t>부강면</t>
        </is>
      </c>
    </row>
    <row r="11511">
      <c r="A11511" s="3" t="n">
        <v>2023</v>
      </c>
      <c r="B11511" s="4" t="n">
        <v>60420</v>
      </c>
      <c r="C11511" s="4" t="n">
        <v>3329</v>
      </c>
      <c r="D11511" s="4" t="n">
        <v>1007.0225</v>
      </c>
      <c r="E11511" s="5" t="n">
        <v>60</v>
      </c>
      <c r="F11511" s="3" t="inlineStr">
        <is>
          <t>전동면</t>
        </is>
      </c>
      <c r="G11511" s="3" t="inlineStr">
        <is>
          <t>심중리</t>
        </is>
      </c>
      <c r="H11511" s="3" t="inlineStr">
        <is>
          <t>계획관리지역</t>
        </is>
      </c>
      <c r="I11511" s="3" t="inlineStr">
        <is>
          <t>전</t>
        </is>
      </c>
      <c r="J11511" s="3" t="inlineStr">
        <is>
          <t>전동면</t>
        </is>
      </c>
    </row>
    <row r="11512">
      <c r="A11512" s="3" t="n">
        <v>2023</v>
      </c>
      <c r="B11512" s="4" t="n">
        <v>1488</v>
      </c>
      <c r="C11512" s="4" t="n">
        <v>82</v>
      </c>
      <c r="D11512" s="4" t="n">
        <v>24.805</v>
      </c>
      <c r="E11512" s="5" t="n">
        <v>60</v>
      </c>
      <c r="F11512" s="3" t="inlineStr">
        <is>
          <t>전동면</t>
        </is>
      </c>
      <c r="G11512" s="3" t="inlineStr">
        <is>
          <t>심중리</t>
        </is>
      </c>
      <c r="H11512" s="3" t="inlineStr">
        <is>
          <t>계획관리지역</t>
        </is>
      </c>
      <c r="I11512" s="3" t="inlineStr">
        <is>
          <t>전</t>
        </is>
      </c>
      <c r="J11512" s="3" t="inlineStr">
        <is>
          <t>전동면</t>
        </is>
      </c>
    </row>
    <row r="11513">
      <c r="A11513" s="3" t="n">
        <v>2023</v>
      </c>
      <c r="B11513" s="4" t="n">
        <v>9000</v>
      </c>
      <c r="C11513" s="4" t="n">
        <v>1983</v>
      </c>
      <c r="D11513" s="4" t="n">
        <v>599.8575</v>
      </c>
      <c r="E11513" s="5" t="n">
        <v>15</v>
      </c>
      <c r="F11513" s="3" t="inlineStr">
        <is>
          <t>전동면</t>
        </is>
      </c>
      <c r="G11513" s="3" t="inlineStr">
        <is>
          <t>미곡리</t>
        </is>
      </c>
      <c r="H11513" s="3" t="inlineStr">
        <is>
          <t>농림지역</t>
        </is>
      </c>
      <c r="I11513" s="3" t="inlineStr">
        <is>
          <t>임야</t>
        </is>
      </c>
      <c r="J11513" s="3" t="inlineStr">
        <is>
          <t>전동면</t>
        </is>
      </c>
    </row>
    <row r="11514">
      <c r="A11514" s="3" t="n">
        <v>2023</v>
      </c>
      <c r="B11514" s="4" t="n">
        <v>32219</v>
      </c>
      <c r="C11514" s="4" t="n">
        <v>663</v>
      </c>
      <c r="D11514" s="4" t="n">
        <v>200.5575</v>
      </c>
      <c r="E11514" s="5" t="n">
        <v>160.6</v>
      </c>
      <c r="F11514" s="3" t="inlineStr">
        <is>
          <t>금남면</t>
        </is>
      </c>
      <c r="G11514" s="3" t="inlineStr">
        <is>
          <t>원봉리</t>
        </is>
      </c>
      <c r="H11514" s="3" t="inlineStr">
        <is>
          <t>계획관리지역</t>
        </is>
      </c>
      <c r="I11514" s="3" t="inlineStr">
        <is>
          <t>대</t>
        </is>
      </c>
      <c r="J11514" s="3" t="inlineStr">
        <is>
          <t>금남면</t>
        </is>
      </c>
    </row>
    <row r="11515">
      <c r="A11515" s="3" t="n">
        <v>2023</v>
      </c>
      <c r="B11515" s="4" t="n">
        <v>19001</v>
      </c>
      <c r="C11515" s="4" t="n">
        <v>391</v>
      </c>
      <c r="D11515" s="4" t="n">
        <v>118.2775</v>
      </c>
      <c r="E11515" s="5" t="n">
        <v>160.6</v>
      </c>
      <c r="F11515" s="3" t="inlineStr">
        <is>
          <t>금남면</t>
        </is>
      </c>
      <c r="G11515" s="3" t="inlineStr">
        <is>
          <t>원봉리</t>
        </is>
      </c>
      <c r="H11515" s="3" t="inlineStr">
        <is>
          <t>계획관리지역</t>
        </is>
      </c>
      <c r="I11515" s="3" t="inlineStr">
        <is>
          <t>임야</t>
        </is>
      </c>
      <c r="J11515" s="3" t="inlineStr">
        <is>
          <t>금남면</t>
        </is>
      </c>
    </row>
    <row r="11516">
      <c r="A11516" s="3" t="n">
        <v>2023</v>
      </c>
      <c r="B11516" s="4" t="n">
        <v>25480</v>
      </c>
      <c r="C11516" s="4" t="n">
        <v>718</v>
      </c>
      <c r="D11516" s="4" t="n">
        <v>217.195</v>
      </c>
      <c r="E11516" s="5" t="n">
        <v>117.3</v>
      </c>
      <c r="F11516" s="3" t="inlineStr">
        <is>
          <t>장군면</t>
        </is>
      </c>
      <c r="G11516" s="3" t="inlineStr">
        <is>
          <t>금암리</t>
        </is>
      </c>
      <c r="H11516" s="3" t="inlineStr">
        <is>
          <t>농림지역</t>
        </is>
      </c>
      <c r="I11516" s="3" t="inlineStr">
        <is>
          <t>임야</t>
        </is>
      </c>
      <c r="J11516" s="3" t="inlineStr">
        <is>
          <t>장군면</t>
        </is>
      </c>
    </row>
    <row r="11517">
      <c r="A11517" s="3" t="n">
        <v>2023</v>
      </c>
      <c r="B11517" s="4" t="n">
        <v>800</v>
      </c>
      <c r="C11517" s="4" t="n">
        <v>14</v>
      </c>
      <c r="D11517" s="4" t="n">
        <v>4.234999999999999</v>
      </c>
      <c r="E11517" s="5" t="n">
        <v>188.9</v>
      </c>
      <c r="F11517" s="3" t="inlineStr">
        <is>
          <t>조치원읍</t>
        </is>
      </c>
      <c r="G11517" s="3" t="inlineStr">
        <is>
          <t>서창리</t>
        </is>
      </c>
      <c r="H11517" s="3" t="inlineStr">
        <is>
          <t>자연녹지지역</t>
        </is>
      </c>
      <c r="I11517" s="3" t="inlineStr">
        <is>
          <t>전</t>
        </is>
      </c>
      <c r="J11517" s="3" t="inlineStr">
        <is>
          <t>조치원읍</t>
        </is>
      </c>
    </row>
    <row r="11518">
      <c r="A11518" s="3" t="n">
        <v>2023</v>
      </c>
      <c r="B11518" s="4" t="n">
        <v>1000</v>
      </c>
      <c r="C11518" s="4" t="n">
        <v>807</v>
      </c>
      <c r="D11518" s="4" t="n">
        <v>244.1175</v>
      </c>
      <c r="E11518" s="5" t="n">
        <v>4.1</v>
      </c>
      <c r="F11518" s="3" t="inlineStr">
        <is>
          <t>소정면</t>
        </is>
      </c>
      <c r="G11518" s="3" t="inlineStr">
        <is>
          <t>대곡리</t>
        </is>
      </c>
      <c r="H11518" s="3" t="inlineStr">
        <is>
          <t>계획관리지역</t>
        </is>
      </c>
      <c r="I11518" s="3" t="inlineStr">
        <is>
          <t>전</t>
        </is>
      </c>
      <c r="J11518" s="3" t="inlineStr">
        <is>
          <t>소정면</t>
        </is>
      </c>
    </row>
    <row r="11519">
      <c r="A11519" s="3" t="n">
        <v>2023</v>
      </c>
      <c r="B11519" s="4" t="n">
        <v>15000</v>
      </c>
      <c r="C11519" s="4" t="n">
        <v>258</v>
      </c>
      <c r="D11519" s="4" t="n">
        <v>78.045</v>
      </c>
      <c r="E11519" s="5" t="n">
        <v>192.2</v>
      </c>
      <c r="F11519" s="3" t="inlineStr">
        <is>
          <t>연동면</t>
        </is>
      </c>
      <c r="G11519" s="3" t="inlineStr">
        <is>
          <t>합강리</t>
        </is>
      </c>
      <c r="H11519" s="3" t="inlineStr">
        <is>
          <t>보전관리지역</t>
        </is>
      </c>
      <c r="I11519" s="3" t="inlineStr">
        <is>
          <t>대</t>
        </is>
      </c>
      <c r="J11519" s="3" t="inlineStr">
        <is>
          <t>연동면</t>
        </is>
      </c>
    </row>
    <row r="11520">
      <c r="A11520" s="3" t="n">
        <v>2023</v>
      </c>
      <c r="B11520" s="4" t="n">
        <v>25000</v>
      </c>
      <c r="C11520" s="4" t="n">
        <v>450</v>
      </c>
      <c r="D11520" s="4" t="n">
        <v>136.125</v>
      </c>
      <c r="E11520" s="5" t="n">
        <v>183.7</v>
      </c>
      <c r="F11520" s="3" t="inlineStr">
        <is>
          <t>연동면</t>
        </is>
      </c>
      <c r="G11520" s="3" t="inlineStr">
        <is>
          <t>합강리</t>
        </is>
      </c>
      <c r="H11520" s="3" t="inlineStr">
        <is>
          <t>보전관리지역</t>
        </is>
      </c>
      <c r="I11520" s="3" t="inlineStr">
        <is>
          <t>답</t>
        </is>
      </c>
      <c r="J11520" s="3" t="inlineStr">
        <is>
          <t>연동면</t>
        </is>
      </c>
    </row>
    <row r="11521">
      <c r="A11521" s="3" t="n">
        <v>2023</v>
      </c>
      <c r="B11521" s="4" t="n">
        <v>20000</v>
      </c>
      <c r="C11521" s="4" t="n">
        <v>1323</v>
      </c>
      <c r="D11521" s="4" t="n">
        <v>400.2075</v>
      </c>
      <c r="E11521" s="5" t="n">
        <v>50</v>
      </c>
      <c r="F11521" s="3" t="inlineStr">
        <is>
          <t>연기면</t>
        </is>
      </c>
      <c r="G11521" s="3" t="inlineStr">
        <is>
          <t>눌왕리</t>
        </is>
      </c>
      <c r="H11521" s="3" t="inlineStr">
        <is>
          <t>계획관리지역</t>
        </is>
      </c>
      <c r="I11521" s="3" t="inlineStr">
        <is>
          <t>전</t>
        </is>
      </c>
      <c r="J11521" s="3" t="inlineStr">
        <is>
          <t>연기면</t>
        </is>
      </c>
    </row>
    <row r="11522">
      <c r="A11522" s="3" t="n">
        <v>2026</v>
      </c>
      <c r="B11522" s="4" t="n">
        <v>2750</v>
      </c>
      <c r="C11522" s="4" t="n">
        <v>13488</v>
      </c>
      <c r="D11522" s="4" t="n">
        <v>4080.12</v>
      </c>
      <c r="E11522" s="5" t="n">
        <v>0.7</v>
      </c>
      <c r="F11522" s="3" t="inlineStr">
        <is>
          <t>유구읍</t>
        </is>
      </c>
      <c r="G11522" s="3" t="inlineStr">
        <is>
          <t>세동리</t>
        </is>
      </c>
      <c r="H11522" s="3" t="inlineStr">
        <is>
          <t>농림지역</t>
        </is>
      </c>
      <c r="I11522" s="3" t="inlineStr">
        <is>
          <t>임야</t>
        </is>
      </c>
      <c r="J11522" s="3" t="inlineStr">
        <is>
          <t>유구읍</t>
        </is>
      </c>
    </row>
    <row r="11523">
      <c r="A11523" s="3" t="n">
        <v>2024</v>
      </c>
      <c r="B11523" s="4" t="n">
        <v>35000</v>
      </c>
      <c r="C11523" s="4" t="n">
        <v>459</v>
      </c>
      <c r="D11523" s="4" t="n">
        <v>138.8475</v>
      </c>
      <c r="E11523" s="5" t="n">
        <v>252.1</v>
      </c>
      <c r="F11523" s="3" t="inlineStr">
        <is>
          <t>장군면</t>
        </is>
      </c>
      <c r="G11523" s="3" t="inlineStr">
        <is>
          <t>산학리</t>
        </is>
      </c>
      <c r="H11523" s="3" t="inlineStr">
        <is>
          <t>보전관리지역</t>
        </is>
      </c>
      <c r="I11523" s="3" t="inlineStr">
        <is>
          <t>대</t>
        </is>
      </c>
      <c r="J11523" s="3" t="inlineStr">
        <is>
          <t>장군면</t>
        </is>
      </c>
    </row>
    <row r="11524">
      <c r="A11524" s="3" t="n">
        <v>2024</v>
      </c>
      <c r="B11524" s="4" t="n">
        <v>35896</v>
      </c>
      <c r="C11524" s="4" t="n">
        <v>471</v>
      </c>
      <c r="D11524" s="4" t="n">
        <v>142.4775</v>
      </c>
      <c r="E11524" s="5" t="n">
        <v>251.9</v>
      </c>
      <c r="F11524" s="3" t="inlineStr">
        <is>
          <t>장군면</t>
        </is>
      </c>
      <c r="G11524" s="3" t="inlineStr">
        <is>
          <t>산학리</t>
        </is>
      </c>
      <c r="H11524" s="3" t="inlineStr">
        <is>
          <t>보전관리지역</t>
        </is>
      </c>
      <c r="I11524" s="3" t="inlineStr">
        <is>
          <t>대</t>
        </is>
      </c>
      <c r="J11524" s="3" t="inlineStr">
        <is>
          <t>장군면</t>
        </is>
      </c>
    </row>
    <row r="11525">
      <c r="A11525" s="3" t="n">
        <v>2024</v>
      </c>
      <c r="B11525" s="4" t="n">
        <v>55000</v>
      </c>
      <c r="C11525" s="4" t="n">
        <v>1170</v>
      </c>
      <c r="D11525" s="4" t="n">
        <v>353.925</v>
      </c>
      <c r="E11525" s="5" t="n">
        <v>155.4</v>
      </c>
      <c r="F11525" s="3" t="inlineStr">
        <is>
          <t>장군면</t>
        </is>
      </c>
      <c r="G11525" s="3" t="inlineStr">
        <is>
          <t>하봉리</t>
        </is>
      </c>
      <c r="H11525" s="3" t="inlineStr">
        <is>
          <t>농림지역</t>
        </is>
      </c>
      <c r="I11525" s="3" t="inlineStr">
        <is>
          <t>답</t>
        </is>
      </c>
      <c r="J11525" s="3" t="inlineStr">
        <is>
          <t>장군면</t>
        </is>
      </c>
    </row>
    <row r="11526">
      <c r="A11526" s="3" t="n">
        <v>2024</v>
      </c>
      <c r="B11526" s="4" t="n">
        <v>34032</v>
      </c>
      <c r="C11526" s="4" t="n">
        <v>446</v>
      </c>
      <c r="D11526" s="4" t="n">
        <v>134.915</v>
      </c>
      <c r="E11526" s="5" t="n">
        <v>252.2</v>
      </c>
      <c r="F11526" s="3" t="inlineStr">
        <is>
          <t>장군면</t>
        </is>
      </c>
      <c r="G11526" s="3" t="inlineStr">
        <is>
          <t>산학리</t>
        </is>
      </c>
      <c r="H11526" s="3" t="inlineStr">
        <is>
          <t>보전관리지역</t>
        </is>
      </c>
      <c r="I11526" s="3" t="inlineStr">
        <is>
          <t>대</t>
        </is>
      </c>
      <c r="J11526" s="3" t="inlineStr">
        <is>
          <t>장군면</t>
        </is>
      </c>
    </row>
    <row r="11527">
      <c r="A11527" s="3" t="n">
        <v>2022</v>
      </c>
      <c r="B11527" s="4" t="n">
        <v>20700</v>
      </c>
      <c r="C11527" s="4" t="n">
        <v>761</v>
      </c>
      <c r="D11527" s="4" t="n">
        <v>230.2025</v>
      </c>
      <c r="E11527" s="5" t="n">
        <v>89.90000000000001</v>
      </c>
      <c r="F11527" s="3" t="inlineStr">
        <is>
          <t>연서면</t>
        </is>
      </c>
      <c r="G11527" s="3" t="inlineStr">
        <is>
          <t>고복리</t>
        </is>
      </c>
      <c r="H11527" s="3" t="inlineStr">
        <is>
          <t>보전관리지역</t>
        </is>
      </c>
      <c r="I11527" s="3" t="inlineStr">
        <is>
          <t>전</t>
        </is>
      </c>
      <c r="J11527" s="3" t="inlineStr">
        <is>
          <t>연서면</t>
        </is>
      </c>
    </row>
    <row r="11528">
      <c r="A11528" s="3" t="n">
        <v>2022</v>
      </c>
      <c r="B11528" s="4" t="n">
        <v>37570</v>
      </c>
      <c r="C11528" s="4" t="n">
        <v>446</v>
      </c>
      <c r="D11528" s="4" t="n">
        <v>134.915</v>
      </c>
      <c r="E11528" s="5" t="n">
        <v>278.5</v>
      </c>
      <c r="F11528" s="3" t="inlineStr">
        <is>
          <t>전의면</t>
        </is>
      </c>
      <c r="G11528" s="3" t="inlineStr">
        <is>
          <t>신흥리</t>
        </is>
      </c>
      <c r="H11528" s="3" t="inlineStr">
        <is>
          <t>계획관리지역</t>
        </is>
      </c>
      <c r="I11528" s="3" t="inlineStr">
        <is>
          <t>답</t>
        </is>
      </c>
      <c r="J11528" s="3" t="inlineStr">
        <is>
          <t>전의면</t>
        </is>
      </c>
    </row>
    <row r="11529">
      <c r="A11529" s="3" t="n">
        <v>2022</v>
      </c>
      <c r="B11529" s="4" t="n">
        <v>44220</v>
      </c>
      <c r="C11529" s="4" t="n">
        <v>442</v>
      </c>
      <c r="D11529" s="4" t="n">
        <v>133.705</v>
      </c>
      <c r="E11529" s="5" t="n">
        <v>330.7</v>
      </c>
      <c r="F11529" s="3" t="inlineStr">
        <is>
          <t>연서면</t>
        </is>
      </c>
      <c r="G11529" s="3" t="inlineStr">
        <is>
          <t>월하리</t>
        </is>
      </c>
      <c r="H11529" s="3" t="inlineStr">
        <is>
          <t>자연녹지지역</t>
        </is>
      </c>
      <c r="I11529" s="3" t="inlineStr">
        <is>
          <t>전</t>
        </is>
      </c>
      <c r="J11529" s="3" t="inlineStr">
        <is>
          <t>연서면</t>
        </is>
      </c>
    </row>
    <row r="11530">
      <c r="A11530" s="3" t="n">
        <v>2022</v>
      </c>
      <c r="B11530" s="4" t="n">
        <v>22750</v>
      </c>
      <c r="C11530" s="4" t="n">
        <v>300</v>
      </c>
      <c r="D11530" s="4" t="n">
        <v>90.75</v>
      </c>
      <c r="E11530" s="5" t="n">
        <v>250.7</v>
      </c>
      <c r="F11530" s="3" t="inlineStr">
        <is>
          <t>금남면</t>
        </is>
      </c>
      <c r="G11530" s="3" t="inlineStr">
        <is>
          <t>발산리</t>
        </is>
      </c>
      <c r="H11530" s="3" t="inlineStr">
        <is>
          <t>제1종일반주거지역</t>
        </is>
      </c>
      <c r="I11530" s="3" t="inlineStr">
        <is>
          <t>대</t>
        </is>
      </c>
      <c r="J11530" s="3" t="inlineStr">
        <is>
          <t>금남면</t>
        </is>
      </c>
    </row>
    <row r="11531">
      <c r="A11531" s="3" t="n">
        <v>2022</v>
      </c>
      <c r="B11531" s="4" t="n">
        <v>35000</v>
      </c>
      <c r="C11531" s="4" t="n">
        <v>463</v>
      </c>
      <c r="D11531" s="4" t="n">
        <v>140.0575</v>
      </c>
      <c r="E11531" s="5" t="n">
        <v>249.9</v>
      </c>
      <c r="F11531" s="3" t="inlineStr">
        <is>
          <t>금남면</t>
        </is>
      </c>
      <c r="G11531" s="3" t="inlineStr">
        <is>
          <t>발산리</t>
        </is>
      </c>
      <c r="H11531" s="3" t="inlineStr">
        <is>
          <t>제1종일반주거지역</t>
        </is>
      </c>
      <c r="I11531" s="3" t="inlineStr">
        <is>
          <t>대</t>
        </is>
      </c>
      <c r="J11531" s="3" t="inlineStr">
        <is>
          <t>금남면</t>
        </is>
      </c>
    </row>
    <row r="11532">
      <c r="A11532" s="3" t="n">
        <v>2022</v>
      </c>
      <c r="B11532" s="4" t="n">
        <v>1260</v>
      </c>
      <c r="C11532" s="4" t="n">
        <v>21</v>
      </c>
      <c r="D11532" s="4" t="n">
        <v>6.3525</v>
      </c>
      <c r="E11532" s="5" t="n">
        <v>198.3</v>
      </c>
      <c r="F11532" s="3" t="inlineStr">
        <is>
          <t>부강면</t>
        </is>
      </c>
      <c r="G11532" s="3" t="inlineStr">
        <is>
          <t>부강리</t>
        </is>
      </c>
      <c r="H11532" s="3" t="inlineStr">
        <is>
          <t>제2종일반주거지역</t>
        </is>
      </c>
      <c r="I11532" s="3" t="inlineStr">
        <is>
          <t>전</t>
        </is>
      </c>
      <c r="J11532" s="3" t="inlineStr">
        <is>
          <t>부강면</t>
        </is>
      </c>
    </row>
    <row r="11533">
      <c r="A11533" s="3" t="n">
        <v>2022</v>
      </c>
      <c r="B11533" s="4" t="n">
        <v>68700</v>
      </c>
      <c r="C11533" s="4" t="n">
        <v>3033</v>
      </c>
      <c r="D11533" s="4" t="n">
        <v>917.4825</v>
      </c>
      <c r="E11533" s="5" t="n">
        <v>74.90000000000001</v>
      </c>
      <c r="F11533" s="3" t="inlineStr">
        <is>
          <t>금남면</t>
        </is>
      </c>
      <c r="G11533" s="3" t="inlineStr">
        <is>
          <t>영대리</t>
        </is>
      </c>
      <c r="H11533" s="3" t="inlineStr">
        <is>
          <t>개발제한구역</t>
        </is>
      </c>
      <c r="I11533" s="3" t="inlineStr">
        <is>
          <t>답</t>
        </is>
      </c>
      <c r="J11533" s="3" t="inlineStr">
        <is>
          <t>금남면</t>
        </is>
      </c>
    </row>
    <row r="11534">
      <c r="A11534" s="3" t="n">
        <v>2022</v>
      </c>
      <c r="B11534" s="4" t="n">
        <v>10164</v>
      </c>
      <c r="C11534" s="4" t="n">
        <v>84</v>
      </c>
      <c r="D11534" s="4" t="n">
        <v>25.41</v>
      </c>
      <c r="E11534" s="5" t="n">
        <v>400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제1종일반주거지역</t>
        </is>
      </c>
      <c r="I11534" s="3" t="inlineStr">
        <is>
          <t>답</t>
        </is>
      </c>
      <c r="J11534" s="3" t="inlineStr">
        <is>
          <t>조치원읍</t>
        </is>
      </c>
    </row>
    <row r="11535">
      <c r="A11535" s="3" t="n">
        <v>2022</v>
      </c>
      <c r="B11535" s="4" t="n">
        <v>40000</v>
      </c>
      <c r="C11535" s="4" t="n">
        <v>2284</v>
      </c>
      <c r="D11535" s="4" t="n">
        <v>690.91</v>
      </c>
      <c r="E11535" s="5" t="n">
        <v>57.9</v>
      </c>
      <c r="F11535" s="3" t="inlineStr">
        <is>
          <t>금남면</t>
        </is>
      </c>
      <c r="G11535" s="3" t="inlineStr">
        <is>
          <t>원봉리</t>
        </is>
      </c>
      <c r="H11535" s="3" t="inlineStr">
        <is>
          <t>생산관리지역</t>
        </is>
      </c>
      <c r="I11535" s="3" t="inlineStr">
        <is>
          <t>답</t>
        </is>
      </c>
      <c r="J11535" s="3" t="inlineStr">
        <is>
          <t>금남면</t>
        </is>
      </c>
    </row>
    <row r="11536">
      <c r="A11536" s="3" t="n">
        <v>2022</v>
      </c>
      <c r="B11536" s="4" t="n">
        <v>57000</v>
      </c>
      <c r="C11536" s="4" t="n">
        <v>2797</v>
      </c>
      <c r="D11536" s="4" t="n">
        <v>846.0925</v>
      </c>
      <c r="E11536" s="5" t="n">
        <v>67.40000000000001</v>
      </c>
      <c r="F11536" s="3" t="inlineStr">
        <is>
          <t>금남면</t>
        </is>
      </c>
      <c r="G11536" s="3" t="inlineStr">
        <is>
          <t>달전리</t>
        </is>
      </c>
      <c r="H11536" s="3" t="inlineStr">
        <is>
          <t>개발제한구역</t>
        </is>
      </c>
      <c r="I11536" s="3" t="inlineStr">
        <is>
          <t>답</t>
        </is>
      </c>
      <c r="J11536" s="3" t="inlineStr">
        <is>
          <t>금남면</t>
        </is>
      </c>
    </row>
    <row r="11537">
      <c r="A11537" s="3" t="n">
        <v>2022</v>
      </c>
      <c r="B11537" s="4" t="n">
        <v>23900</v>
      </c>
      <c r="C11537" s="4" t="n">
        <v>231</v>
      </c>
      <c r="D11537" s="4" t="n">
        <v>69.8775</v>
      </c>
      <c r="E11537" s="5" t="n">
        <v>342</v>
      </c>
      <c r="F11537" s="3" t="inlineStr">
        <is>
          <t>연서면</t>
        </is>
      </c>
      <c r="G11537" s="3" t="inlineStr">
        <is>
          <t>와촌리</t>
        </is>
      </c>
      <c r="H11537" s="3" t="inlineStr">
        <is>
          <t>계획관리지역</t>
        </is>
      </c>
      <c r="I11537" s="3" t="inlineStr">
        <is>
          <t>묘지</t>
        </is>
      </c>
      <c r="J11537" s="3" t="inlineStr">
        <is>
          <t>연서면</t>
        </is>
      </c>
    </row>
    <row r="11538">
      <c r="A11538" s="3" t="n">
        <v>2022</v>
      </c>
      <c r="B11538" s="4" t="n">
        <v>20000</v>
      </c>
      <c r="C11538" s="4" t="n">
        <v>552</v>
      </c>
      <c r="D11538" s="4" t="n">
        <v>166.98</v>
      </c>
      <c r="E11538" s="5" t="n">
        <v>119.8</v>
      </c>
      <c r="F11538" s="3" t="inlineStr">
        <is>
          <t>금남면</t>
        </is>
      </c>
      <c r="G11538" s="3" t="inlineStr">
        <is>
          <t>봉암리</t>
        </is>
      </c>
      <c r="H11538" s="3" t="inlineStr">
        <is>
          <t>계획관리지역</t>
        </is>
      </c>
      <c r="I11538" s="3" t="inlineStr">
        <is>
          <t>전</t>
        </is>
      </c>
      <c r="J11538" s="3" t="inlineStr">
        <is>
          <t>금남면</t>
        </is>
      </c>
    </row>
    <row r="11539">
      <c r="A11539" s="3" t="n">
        <v>2022</v>
      </c>
      <c r="B11539" s="4" t="n">
        <v>30000</v>
      </c>
      <c r="C11539" s="4" t="n">
        <v>3359</v>
      </c>
      <c r="D11539" s="4" t="n">
        <v>1016.0975</v>
      </c>
      <c r="E11539" s="5" t="n">
        <v>29.5</v>
      </c>
      <c r="F11539" s="3" t="inlineStr">
        <is>
          <t>전의면</t>
        </is>
      </c>
      <c r="G11539" s="3" t="inlineStr">
        <is>
          <t>달전리</t>
        </is>
      </c>
      <c r="H11539" s="3" t="inlineStr">
        <is>
          <t>보전관리지역</t>
        </is>
      </c>
      <c r="I11539" s="3" t="inlineStr">
        <is>
          <t>임야</t>
        </is>
      </c>
      <c r="J11539" s="3" t="inlineStr">
        <is>
          <t>전의면</t>
        </is>
      </c>
    </row>
    <row r="11540">
      <c r="A11540" s="3" t="n">
        <v>2022</v>
      </c>
      <c r="B11540" s="4" t="n">
        <v>26460</v>
      </c>
      <c r="C11540" s="4" t="n">
        <v>1679</v>
      </c>
      <c r="D11540" s="4" t="n">
        <v>507.8975</v>
      </c>
      <c r="E11540" s="5" t="n">
        <v>52.1</v>
      </c>
      <c r="F11540" s="3" t="inlineStr">
        <is>
          <t>전의면</t>
        </is>
      </c>
      <c r="G11540" s="3" t="inlineStr">
        <is>
          <t>달전리</t>
        </is>
      </c>
      <c r="H11540" s="3" t="inlineStr">
        <is>
          <t>보전관리지역</t>
        </is>
      </c>
      <c r="I11540" s="3" t="inlineStr">
        <is>
          <t>임야</t>
        </is>
      </c>
      <c r="J11540" s="3" t="inlineStr">
        <is>
          <t>전의면</t>
        </is>
      </c>
    </row>
    <row r="11541">
      <c r="A11541" s="3" t="n">
        <v>2022</v>
      </c>
      <c r="B11541" s="4" t="n">
        <v>8400</v>
      </c>
      <c r="C11541" s="4" t="n">
        <v>360</v>
      </c>
      <c r="D11541" s="4" t="n">
        <v>108.9</v>
      </c>
      <c r="E11541" s="5" t="n">
        <v>77.09999999999999</v>
      </c>
      <c r="F11541" s="3" t="inlineStr">
        <is>
          <t>장군면</t>
        </is>
      </c>
      <c r="G11541" s="3" t="inlineStr">
        <is>
          <t>산학리</t>
        </is>
      </c>
      <c r="H11541" s="3" t="inlineStr">
        <is>
          <t>계획관리지역</t>
        </is>
      </c>
      <c r="I11541" s="3" t="inlineStr">
        <is>
          <t>답</t>
        </is>
      </c>
      <c r="J11541" s="3" t="inlineStr">
        <is>
          <t>장군면</t>
        </is>
      </c>
    </row>
    <row r="11542">
      <c r="A11542" s="3" t="n">
        <v>2022</v>
      </c>
      <c r="B11542" s="4" t="n">
        <v>94900</v>
      </c>
      <c r="C11542" s="4" t="n">
        <v>1785</v>
      </c>
      <c r="D11542" s="4" t="n">
        <v>539.9625</v>
      </c>
      <c r="E11542" s="5" t="n">
        <v>175.8</v>
      </c>
      <c r="F11542" s="3" t="inlineStr">
        <is>
          <t>장군면</t>
        </is>
      </c>
      <c r="G11542" s="3" t="inlineStr">
        <is>
          <t>산학리</t>
        </is>
      </c>
      <c r="H11542" s="3" t="inlineStr">
        <is>
          <t>계획관리지역</t>
        </is>
      </c>
      <c r="I11542" s="3" t="inlineStr">
        <is>
          <t>답</t>
        </is>
      </c>
      <c r="J11542" s="3" t="inlineStr">
        <is>
          <t>장군면</t>
        </is>
      </c>
    </row>
    <row r="11543">
      <c r="A11543" s="3" t="n">
        <v>2022</v>
      </c>
      <c r="B11543" s="4" t="n">
        <v>100200</v>
      </c>
      <c r="C11543" s="4" t="n">
        <v>1904</v>
      </c>
      <c r="D11543" s="4" t="n">
        <v>575.96</v>
      </c>
      <c r="E11543" s="5" t="n">
        <v>174</v>
      </c>
      <c r="F11543" s="3" t="inlineStr">
        <is>
          <t>장군면</t>
        </is>
      </c>
      <c r="G11543" s="3" t="inlineStr">
        <is>
          <t>산학리</t>
        </is>
      </c>
      <c r="H11543" s="3" t="inlineStr">
        <is>
          <t>계획관리지역</t>
        </is>
      </c>
      <c r="I11543" s="3" t="inlineStr">
        <is>
          <t>전</t>
        </is>
      </c>
      <c r="J11543" s="3" t="inlineStr">
        <is>
          <t>장군면</t>
        </is>
      </c>
    </row>
    <row r="11544">
      <c r="A11544" s="3" t="n">
        <v>2022</v>
      </c>
      <c r="B11544" s="4" t="n">
        <v>44700</v>
      </c>
      <c r="C11544" s="4" t="n">
        <v>1560</v>
      </c>
      <c r="D11544" s="4" t="n">
        <v>471.9</v>
      </c>
      <c r="E11544" s="5" t="n">
        <v>94.7</v>
      </c>
      <c r="F11544" s="3" t="inlineStr">
        <is>
          <t>장군면</t>
        </is>
      </c>
      <c r="G11544" s="3" t="inlineStr">
        <is>
          <t>산학리</t>
        </is>
      </c>
      <c r="H11544" s="3" t="inlineStr">
        <is>
          <t>계획관리지역</t>
        </is>
      </c>
      <c r="I11544" s="3" t="inlineStr">
        <is>
          <t>답</t>
        </is>
      </c>
      <c r="J11544" s="3" t="inlineStr">
        <is>
          <t>장군면</t>
        </is>
      </c>
    </row>
    <row r="11545">
      <c r="A11545" s="3" t="n">
        <v>2022</v>
      </c>
      <c r="B11545" s="4" t="n">
        <v>1000</v>
      </c>
      <c r="C11545" s="4" t="n">
        <v>79</v>
      </c>
      <c r="D11545" s="4" t="n">
        <v>23.8975</v>
      </c>
      <c r="E11545" s="5" t="n">
        <v>41.8</v>
      </c>
      <c r="F11545" s="3" t="inlineStr">
        <is>
          <t>장군면</t>
        </is>
      </c>
      <c r="G11545" s="3" t="inlineStr">
        <is>
          <t>금암리</t>
        </is>
      </c>
      <c r="H11545" s="3" t="inlineStr">
        <is>
          <t>계획관리지역</t>
        </is>
      </c>
      <c r="I11545" s="3" t="inlineStr">
        <is>
          <t>도로</t>
        </is>
      </c>
      <c r="J11545" s="3" t="inlineStr">
        <is>
          <t>장군면</t>
        </is>
      </c>
    </row>
    <row r="11546">
      <c r="A11546" s="3" t="n">
        <v>2022</v>
      </c>
      <c r="B11546" s="4" t="n">
        <v>11400</v>
      </c>
      <c r="C11546" s="4" t="n">
        <v>202</v>
      </c>
      <c r="D11546" s="4" t="n">
        <v>61.105</v>
      </c>
      <c r="E11546" s="5" t="n">
        <v>186.6</v>
      </c>
      <c r="F11546" s="3" t="inlineStr">
        <is>
          <t>장군면</t>
        </is>
      </c>
      <c r="G11546" s="3" t="inlineStr">
        <is>
          <t>봉안리</t>
        </is>
      </c>
      <c r="H11546" s="3" t="inlineStr">
        <is>
          <t>계획관리지역</t>
        </is>
      </c>
      <c r="I11546" s="3" t="inlineStr">
        <is>
          <t>답</t>
        </is>
      </c>
      <c r="J11546" s="3" t="inlineStr">
        <is>
          <t>장군면</t>
        </is>
      </c>
    </row>
    <row r="11547">
      <c r="A11547" s="3" t="n">
        <v>2022</v>
      </c>
      <c r="B11547" s="4" t="n">
        <v>9100</v>
      </c>
      <c r="C11547" s="4" t="n">
        <v>2757</v>
      </c>
      <c r="D11547" s="4" t="n">
        <v>833.9924999999999</v>
      </c>
      <c r="E11547" s="5" t="n">
        <v>10.9</v>
      </c>
      <c r="F11547" s="3" t="inlineStr">
        <is>
          <t>부강면</t>
        </is>
      </c>
      <c r="G11547" s="3" t="inlineStr">
        <is>
          <t>문곡리</t>
        </is>
      </c>
      <c r="H11547" s="3" t="inlineStr">
        <is>
          <t>계획관리지역</t>
        </is>
      </c>
      <c r="I11547" s="3" t="inlineStr">
        <is>
          <t>임야</t>
        </is>
      </c>
      <c r="J11547" s="3" t="inlineStr">
        <is>
          <t>부강면</t>
        </is>
      </c>
    </row>
    <row r="11548">
      <c r="A11548" s="3" t="n">
        <v>2022</v>
      </c>
      <c r="B11548" s="4" t="n">
        <v>45200</v>
      </c>
      <c r="C11548" s="4" t="n">
        <v>1361</v>
      </c>
      <c r="D11548" s="4" t="n">
        <v>411.7025</v>
      </c>
      <c r="E11548" s="5" t="n">
        <v>109.8</v>
      </c>
      <c r="F11548" s="3" t="inlineStr">
        <is>
          <t>부강면</t>
        </is>
      </c>
      <c r="G11548" s="3" t="inlineStr">
        <is>
          <t>문곡리</t>
        </is>
      </c>
      <c r="H11548" s="3" t="inlineStr">
        <is>
          <t>계획관리지역</t>
        </is>
      </c>
      <c r="I11548" s="3" t="inlineStr">
        <is>
          <t>공장용지</t>
        </is>
      </c>
      <c r="J11548" s="3" t="inlineStr">
        <is>
          <t>부강면</t>
        </is>
      </c>
    </row>
    <row r="11549">
      <c r="A11549" s="3" t="n">
        <v>2022</v>
      </c>
      <c r="B11549" s="4" t="n">
        <v>19100</v>
      </c>
      <c r="C11549" s="4" t="n">
        <v>800</v>
      </c>
      <c r="D11549" s="4" t="n">
        <v>242</v>
      </c>
      <c r="E11549" s="5" t="n">
        <v>78.90000000000001</v>
      </c>
      <c r="F11549" s="3" t="inlineStr">
        <is>
          <t>부강면</t>
        </is>
      </c>
      <c r="G11549" s="3" t="inlineStr">
        <is>
          <t>문곡리</t>
        </is>
      </c>
      <c r="H11549" s="3" t="inlineStr">
        <is>
          <t>생산관리지역</t>
        </is>
      </c>
      <c r="I11549" s="3" t="inlineStr">
        <is>
          <t>공장용지</t>
        </is>
      </c>
      <c r="J11549" s="3" t="inlineStr">
        <is>
          <t>부강면</t>
        </is>
      </c>
    </row>
    <row r="11550">
      <c r="A11550" s="3" t="n">
        <v>2022</v>
      </c>
      <c r="B11550" s="4" t="n">
        <v>14000</v>
      </c>
      <c r="C11550" s="4" t="n">
        <v>418</v>
      </c>
      <c r="D11550" s="4" t="n">
        <v>126.445</v>
      </c>
      <c r="E11550" s="5" t="n">
        <v>110.7</v>
      </c>
      <c r="F11550" s="3" t="inlineStr">
        <is>
          <t>금남면</t>
        </is>
      </c>
      <c r="G11550" s="3" t="inlineStr">
        <is>
          <t>두만리</t>
        </is>
      </c>
      <c r="H11550" s="3" t="inlineStr">
        <is>
          <t>개발제한구역</t>
        </is>
      </c>
      <c r="I11550" s="3" t="inlineStr">
        <is>
          <t>답</t>
        </is>
      </c>
      <c r="J11550" s="3" t="inlineStr">
        <is>
          <t>금남면</t>
        </is>
      </c>
    </row>
    <row r="11551">
      <c r="A11551" s="3" t="n">
        <v>2022</v>
      </c>
      <c r="B11551" s="4" t="n">
        <v>2000</v>
      </c>
      <c r="C11551" s="4" t="n">
        <v>65</v>
      </c>
      <c r="D11551" s="4" t="n">
        <v>19.6625</v>
      </c>
      <c r="E11551" s="5" t="n">
        <v>101.7</v>
      </c>
      <c r="F11551" s="3" t="inlineStr">
        <is>
          <t>금남면</t>
        </is>
      </c>
      <c r="G11551" s="3" t="inlineStr">
        <is>
          <t>두만리</t>
        </is>
      </c>
      <c r="H11551" s="3" t="inlineStr">
        <is>
          <t>자연녹지지역</t>
        </is>
      </c>
      <c r="I11551" s="3" t="inlineStr">
        <is>
          <t>전</t>
        </is>
      </c>
      <c r="J11551" s="3" t="inlineStr">
        <is>
          <t>금남면</t>
        </is>
      </c>
    </row>
    <row r="11552">
      <c r="A11552" s="3" t="n">
        <v>2022</v>
      </c>
      <c r="B11552" s="4" t="n">
        <v>124816</v>
      </c>
      <c r="C11552" s="4" t="n">
        <v>538</v>
      </c>
      <c r="D11552" s="4" t="n">
        <v>162.745</v>
      </c>
      <c r="E11552" s="5" t="n">
        <v>766.9</v>
      </c>
      <c r="F11552" s="3" t="inlineStr">
        <is>
          <t>부강면</t>
        </is>
      </c>
      <c r="G11552" s="3" t="inlineStr">
        <is>
          <t>부강리</t>
        </is>
      </c>
      <c r="H11552" s="3" t="inlineStr">
        <is>
          <t>일반상업지역</t>
        </is>
      </c>
      <c r="I11552" s="3" t="inlineStr">
        <is>
          <t>답</t>
        </is>
      </c>
      <c r="J11552" s="3" t="inlineStr">
        <is>
          <t>부강면</t>
        </is>
      </c>
    </row>
    <row r="11553">
      <c r="A11553" s="3" t="n">
        <v>2022</v>
      </c>
      <c r="B11553" s="4" t="n">
        <v>51600</v>
      </c>
      <c r="C11553" s="4" t="n">
        <v>1708</v>
      </c>
      <c r="D11553" s="4" t="n">
        <v>516.67</v>
      </c>
      <c r="E11553" s="5" t="n">
        <v>99.90000000000001</v>
      </c>
      <c r="F11553" s="3" t="inlineStr">
        <is>
          <t>연서면</t>
        </is>
      </c>
      <c r="G11553" s="3" t="inlineStr">
        <is>
          <t>고복리</t>
        </is>
      </c>
      <c r="H11553" s="3" t="inlineStr">
        <is>
          <t>농림지역</t>
        </is>
      </c>
      <c r="I11553" s="3" t="inlineStr">
        <is>
          <t>답</t>
        </is>
      </c>
      <c r="J11553" s="3" t="inlineStr">
        <is>
          <t>연서면</t>
        </is>
      </c>
    </row>
    <row r="11554">
      <c r="A11554" s="3" t="n">
        <v>2022</v>
      </c>
      <c r="B11554" s="4" t="n">
        <v>97000</v>
      </c>
      <c r="C11554" s="4" t="n">
        <v>2871</v>
      </c>
      <c r="D11554" s="4" t="n">
        <v>868.4775</v>
      </c>
      <c r="E11554" s="5" t="n">
        <v>111.7</v>
      </c>
      <c r="F11554" s="3" t="inlineStr">
        <is>
          <t>연서면</t>
        </is>
      </c>
      <c r="G11554" s="3" t="inlineStr">
        <is>
          <t>국촌리</t>
        </is>
      </c>
      <c r="H11554" s="3" t="inlineStr">
        <is>
          <t>농림지역</t>
        </is>
      </c>
      <c r="I11554" s="3" t="inlineStr">
        <is>
          <t>답</t>
        </is>
      </c>
      <c r="J11554" s="3" t="inlineStr">
        <is>
          <t>연서면</t>
        </is>
      </c>
    </row>
    <row r="11555">
      <c r="A11555" s="3" t="n">
        <v>2023</v>
      </c>
      <c r="B11555" s="4" t="n">
        <v>59500</v>
      </c>
      <c r="C11555" s="4" t="n">
        <v>356.9</v>
      </c>
      <c r="D11555" s="4" t="n">
        <v>107.96225</v>
      </c>
      <c r="E11555" s="5" t="n">
        <v>551.1</v>
      </c>
      <c r="F11555" s="3" t="inlineStr">
        <is>
          <t>고운동</t>
        </is>
      </c>
      <c r="G11555" s="3" t="inlineStr"/>
      <c r="H11555" s="3" t="inlineStr">
        <is>
          <t>제1종전용주거지역</t>
        </is>
      </c>
      <c r="I11555" s="3" t="inlineStr">
        <is>
          <t>대</t>
        </is>
      </c>
      <c r="J11555" s="3" t="inlineStr">
        <is>
          <t>고운동</t>
        </is>
      </c>
    </row>
    <row r="11556">
      <c r="A11556" s="3" t="n">
        <v>2023</v>
      </c>
      <c r="B11556" s="4" t="n">
        <v>6378</v>
      </c>
      <c r="C11556" s="4" t="n">
        <v>703</v>
      </c>
      <c r="D11556" s="4" t="n">
        <v>212.6575</v>
      </c>
      <c r="E11556" s="5" t="n">
        <v>30</v>
      </c>
      <c r="F11556" s="3" t="inlineStr">
        <is>
          <t>연서면</t>
        </is>
      </c>
      <c r="G11556" s="3" t="inlineStr">
        <is>
          <t>청라리</t>
        </is>
      </c>
      <c r="H11556" s="3" t="inlineStr">
        <is>
          <t>보전관리지역</t>
        </is>
      </c>
      <c r="I11556" s="3" t="inlineStr">
        <is>
          <t>임야</t>
        </is>
      </c>
      <c r="J11556" s="3" t="inlineStr">
        <is>
          <t>연서면</t>
        </is>
      </c>
    </row>
    <row r="11557">
      <c r="A11557" s="3" t="n">
        <v>2023</v>
      </c>
      <c r="B11557" s="4" t="n">
        <v>3330</v>
      </c>
      <c r="C11557" s="4" t="n">
        <v>367</v>
      </c>
      <c r="D11557" s="4" t="n">
        <v>111.0175</v>
      </c>
      <c r="E11557" s="5" t="n">
        <v>30</v>
      </c>
      <c r="F11557" s="3" t="inlineStr">
        <is>
          <t>연서면</t>
        </is>
      </c>
      <c r="G11557" s="3" t="inlineStr">
        <is>
          <t>청라리</t>
        </is>
      </c>
      <c r="H11557" s="3" t="inlineStr">
        <is>
          <t>생산관리지역</t>
        </is>
      </c>
      <c r="I11557" s="3" t="inlineStr">
        <is>
          <t>전</t>
        </is>
      </c>
      <c r="J11557" s="3" t="inlineStr">
        <is>
          <t>연서면</t>
        </is>
      </c>
    </row>
    <row r="11558">
      <c r="A11558" s="3" t="n">
        <v>2023</v>
      </c>
      <c r="B11558" s="4" t="n">
        <v>22590</v>
      </c>
      <c r="C11558" s="4" t="n">
        <v>540</v>
      </c>
      <c r="D11558" s="4" t="n">
        <v>163.35</v>
      </c>
      <c r="E11558" s="5" t="n">
        <v>138.3</v>
      </c>
      <c r="F11558" s="3" t="inlineStr">
        <is>
          <t>연기면</t>
        </is>
      </c>
      <c r="G11558" s="3" t="inlineStr">
        <is>
          <t>수산리</t>
        </is>
      </c>
      <c r="H11558" s="3" t="inlineStr">
        <is>
          <t>보전관리지역</t>
        </is>
      </c>
      <c r="I11558" s="3" t="inlineStr">
        <is>
          <t>임야</t>
        </is>
      </c>
      <c r="J11558" s="3" t="inlineStr">
        <is>
          <t>연기면</t>
        </is>
      </c>
    </row>
    <row r="11559">
      <c r="A11559" s="3" t="n">
        <v>2023</v>
      </c>
      <c r="B11559" s="4" t="n">
        <v>17500</v>
      </c>
      <c r="C11559" s="4" t="n">
        <v>1655</v>
      </c>
      <c r="D11559" s="4" t="n">
        <v>500.6375</v>
      </c>
      <c r="E11559" s="5" t="n">
        <v>35</v>
      </c>
      <c r="F11559" s="3" t="inlineStr">
        <is>
          <t>장군면</t>
        </is>
      </c>
      <c r="G11559" s="3" t="inlineStr">
        <is>
          <t>은용리</t>
        </is>
      </c>
      <c r="H11559" s="3" t="inlineStr">
        <is>
          <t>농림지역</t>
        </is>
      </c>
      <c r="I11559" s="3" t="inlineStr">
        <is>
          <t>임야</t>
        </is>
      </c>
      <c r="J11559" s="3" t="inlineStr">
        <is>
          <t>장군면</t>
        </is>
      </c>
    </row>
    <row r="11560">
      <c r="A11560" s="3" t="n">
        <v>2023</v>
      </c>
      <c r="B11560" s="4" t="n">
        <v>3780</v>
      </c>
      <c r="C11560" s="4" t="n">
        <v>299</v>
      </c>
      <c r="D11560" s="4" t="n">
        <v>90.44749999999999</v>
      </c>
      <c r="E11560" s="5" t="n">
        <v>41.8</v>
      </c>
      <c r="F11560" s="3" t="inlineStr">
        <is>
          <t>장군면</t>
        </is>
      </c>
      <c r="G11560" s="3" t="inlineStr">
        <is>
          <t>송정리</t>
        </is>
      </c>
      <c r="H11560" s="3" t="inlineStr">
        <is>
          <t>보전관리지역</t>
        </is>
      </c>
      <c r="I11560" s="3" t="inlineStr">
        <is>
          <t>임야</t>
        </is>
      </c>
      <c r="J11560" s="3" t="inlineStr">
        <is>
          <t>장군면</t>
        </is>
      </c>
    </row>
    <row r="11561">
      <c r="A11561" s="3" t="n">
        <v>2023</v>
      </c>
      <c r="B11561" s="4" t="n">
        <v>300</v>
      </c>
      <c r="C11561" s="4" t="n">
        <v>106</v>
      </c>
      <c r="D11561" s="4" t="n">
        <v>32.065</v>
      </c>
      <c r="E11561" s="5" t="n">
        <v>9.4</v>
      </c>
      <c r="F11561" s="3" t="inlineStr">
        <is>
          <t>전동면</t>
        </is>
      </c>
      <c r="G11561" s="3" t="inlineStr">
        <is>
          <t>송성리</t>
        </is>
      </c>
      <c r="H11561" s="3" t="inlineStr">
        <is>
          <t>생산관리지역</t>
        </is>
      </c>
      <c r="I11561" s="3" t="inlineStr">
        <is>
          <t>전</t>
        </is>
      </c>
      <c r="J11561" s="3" t="inlineStr">
        <is>
          <t>전동면</t>
        </is>
      </c>
    </row>
    <row r="11562">
      <c r="A11562" s="3" t="n">
        <v>2023</v>
      </c>
      <c r="B11562" s="4" t="n">
        <v>58650</v>
      </c>
      <c r="C11562" s="4" t="n">
        <v>1140</v>
      </c>
      <c r="D11562" s="4" t="n">
        <v>344.85</v>
      </c>
      <c r="E11562" s="5" t="n">
        <v>170.1</v>
      </c>
      <c r="F11562" s="3" t="inlineStr">
        <is>
          <t>장군면</t>
        </is>
      </c>
      <c r="G11562" s="3" t="inlineStr">
        <is>
          <t>봉안리</t>
        </is>
      </c>
      <c r="H11562" s="3" t="inlineStr">
        <is>
          <t>계획관리지역</t>
        </is>
      </c>
      <c r="I11562" s="3" t="inlineStr">
        <is>
          <t>전</t>
        </is>
      </c>
      <c r="J11562" s="3" t="inlineStr">
        <is>
          <t>장군면</t>
        </is>
      </c>
    </row>
    <row r="11563">
      <c r="A11563" s="3" t="n">
        <v>2023</v>
      </c>
      <c r="B11563" s="4" t="n">
        <v>20500</v>
      </c>
      <c r="C11563" s="4" t="n">
        <v>994</v>
      </c>
      <c r="D11563" s="4" t="n">
        <v>300.685</v>
      </c>
      <c r="E11563" s="5" t="n">
        <v>68.2</v>
      </c>
      <c r="F11563" s="3" t="inlineStr">
        <is>
          <t>전동면</t>
        </is>
      </c>
      <c r="G11563" s="3" t="inlineStr">
        <is>
          <t>송정리</t>
        </is>
      </c>
      <c r="H11563" s="3" t="inlineStr">
        <is>
          <t>생산관리지역</t>
        </is>
      </c>
      <c r="I11563" s="3" t="inlineStr">
        <is>
          <t>답</t>
        </is>
      </c>
      <c r="J11563" s="3" t="inlineStr">
        <is>
          <t>전동면</t>
        </is>
      </c>
    </row>
    <row r="11564">
      <c r="A11564" s="3" t="n">
        <v>2023</v>
      </c>
      <c r="B11564" s="4" t="n">
        <v>12400</v>
      </c>
      <c r="C11564" s="4" t="n">
        <v>426</v>
      </c>
      <c r="D11564" s="4" t="n">
        <v>128.865</v>
      </c>
      <c r="E11564" s="5" t="n">
        <v>96.2</v>
      </c>
      <c r="F11564" s="3" t="inlineStr">
        <is>
          <t>부강면</t>
        </is>
      </c>
      <c r="G11564" s="3" t="inlineStr">
        <is>
          <t>갈산리</t>
        </is>
      </c>
      <c r="H11564" s="3" t="inlineStr">
        <is>
          <t>계획관리지역</t>
        </is>
      </c>
      <c r="I11564" s="3" t="inlineStr">
        <is>
          <t>답</t>
        </is>
      </c>
      <c r="J11564" s="3" t="inlineStr">
        <is>
          <t>부강면</t>
        </is>
      </c>
    </row>
    <row r="11565">
      <c r="A11565" s="3" t="n">
        <v>2023</v>
      </c>
      <c r="B11565" s="4" t="n">
        <v>5000</v>
      </c>
      <c r="C11565" s="4" t="n">
        <v>728</v>
      </c>
      <c r="D11565" s="4" t="n">
        <v>220.22</v>
      </c>
      <c r="E11565" s="5" t="n">
        <v>22.7</v>
      </c>
      <c r="F11565" s="3" t="inlineStr">
        <is>
          <t>전동면</t>
        </is>
      </c>
      <c r="G11565" s="3" t="inlineStr">
        <is>
          <t>청람리</t>
        </is>
      </c>
      <c r="H11565" s="3" t="inlineStr">
        <is>
          <t>생산관리지역</t>
        </is>
      </c>
      <c r="I11565" s="3" t="inlineStr">
        <is>
          <t>전</t>
        </is>
      </c>
      <c r="J11565" s="3" t="inlineStr">
        <is>
          <t>전동면</t>
        </is>
      </c>
    </row>
    <row r="11566">
      <c r="A11566" s="3" t="n">
        <v>2023</v>
      </c>
      <c r="B11566" s="4" t="n">
        <v>6000</v>
      </c>
      <c r="C11566" s="4" t="n">
        <v>124</v>
      </c>
      <c r="D11566" s="4" t="n">
        <v>37.51</v>
      </c>
      <c r="E11566" s="5" t="n">
        <v>160</v>
      </c>
      <c r="F11566" s="3" t="inlineStr">
        <is>
          <t>연기면</t>
        </is>
      </c>
      <c r="G11566" s="3" t="inlineStr">
        <is>
          <t>수산리</t>
        </is>
      </c>
      <c r="H11566" s="3" t="inlineStr">
        <is>
          <t>계획관리지역</t>
        </is>
      </c>
      <c r="I11566" s="3" t="inlineStr">
        <is>
          <t>대</t>
        </is>
      </c>
      <c r="J11566" s="3" t="inlineStr">
        <is>
          <t>연기면</t>
        </is>
      </c>
    </row>
    <row r="11567">
      <c r="A11567" s="3" t="n">
        <v>2023</v>
      </c>
      <c r="B11567" s="4" t="n">
        <v>18380</v>
      </c>
      <c r="C11567" s="4" t="n">
        <v>402</v>
      </c>
      <c r="D11567" s="4" t="n">
        <v>121.605</v>
      </c>
      <c r="E11567" s="5" t="n">
        <v>151.1</v>
      </c>
      <c r="F11567" s="3" t="inlineStr">
        <is>
          <t>연기면</t>
        </is>
      </c>
      <c r="G11567" s="3" t="inlineStr">
        <is>
          <t>수산리</t>
        </is>
      </c>
      <c r="H11567" s="3" t="inlineStr">
        <is>
          <t>생산관리지역</t>
        </is>
      </c>
      <c r="I11567" s="3" t="inlineStr">
        <is>
          <t>답</t>
        </is>
      </c>
      <c r="J11567" s="3" t="inlineStr">
        <is>
          <t>연기면</t>
        </is>
      </c>
    </row>
    <row r="11568">
      <c r="A11568" s="3" t="n">
        <v>2023</v>
      </c>
      <c r="B11568" s="4" t="n">
        <v>1000</v>
      </c>
      <c r="C11568" s="4" t="n">
        <v>56</v>
      </c>
      <c r="D11568" s="4" t="n">
        <v>16.94</v>
      </c>
      <c r="E11568" s="5" t="n">
        <v>59</v>
      </c>
      <c r="F11568" s="3" t="inlineStr">
        <is>
          <t>연기면</t>
        </is>
      </c>
      <c r="G11568" s="3" t="inlineStr">
        <is>
          <t>수산리</t>
        </is>
      </c>
      <c r="H11568" s="3" t="inlineStr">
        <is>
          <t>생산관리지역</t>
        </is>
      </c>
      <c r="I11568" s="3" t="inlineStr">
        <is>
          <t>답</t>
        </is>
      </c>
      <c r="J11568" s="3" t="inlineStr">
        <is>
          <t>연기면</t>
        </is>
      </c>
    </row>
    <row r="11569">
      <c r="A11569" s="3" t="n">
        <v>2023</v>
      </c>
      <c r="B11569" s="4" t="n">
        <v>37862</v>
      </c>
      <c r="C11569" s="4" t="n">
        <v>661</v>
      </c>
      <c r="D11569" s="4" t="n">
        <v>199.9525</v>
      </c>
      <c r="E11569" s="5" t="n">
        <v>189.4</v>
      </c>
      <c r="F11569" s="3" t="inlineStr">
        <is>
          <t>장군면</t>
        </is>
      </c>
      <c r="G11569" s="3" t="inlineStr">
        <is>
          <t>대교리</t>
        </is>
      </c>
      <c r="H11569" s="3" t="inlineStr">
        <is>
          <t>보전관리지역</t>
        </is>
      </c>
      <c r="I11569" s="3" t="inlineStr">
        <is>
          <t>대</t>
        </is>
      </c>
      <c r="J11569" s="3" t="inlineStr">
        <is>
          <t>장군면</t>
        </is>
      </c>
    </row>
    <row r="11570">
      <c r="A11570" s="3" t="n">
        <v>2023</v>
      </c>
      <c r="B11570" s="4" t="n">
        <v>5000</v>
      </c>
      <c r="C11570" s="4" t="n">
        <v>38512</v>
      </c>
      <c r="D11570" s="4" t="n">
        <v>11649.88</v>
      </c>
      <c r="E11570" s="5" t="n">
        <v>0.4</v>
      </c>
      <c r="F11570" s="3" t="inlineStr">
        <is>
          <t>전동면</t>
        </is>
      </c>
      <c r="G11570" s="3" t="inlineStr">
        <is>
          <t>청송리</t>
        </is>
      </c>
      <c r="H11570" s="3" t="inlineStr">
        <is>
          <t>농림지역</t>
        </is>
      </c>
      <c r="I11570" s="3" t="inlineStr">
        <is>
          <t>임야</t>
        </is>
      </c>
      <c r="J11570" s="3" t="inlineStr">
        <is>
          <t>전동면</t>
        </is>
      </c>
    </row>
    <row r="11571">
      <c r="A11571" s="3" t="n">
        <v>2023</v>
      </c>
      <c r="B11571" s="4" t="n">
        <v>24607</v>
      </c>
      <c r="C11571" s="4" t="n">
        <v>505</v>
      </c>
      <c r="D11571" s="4" t="n">
        <v>152.7625</v>
      </c>
      <c r="E11571" s="5" t="n">
        <v>161.1</v>
      </c>
      <c r="F11571" s="3" t="inlineStr">
        <is>
          <t>장군면</t>
        </is>
      </c>
      <c r="G11571" s="3" t="inlineStr">
        <is>
          <t>봉안리</t>
        </is>
      </c>
      <c r="H11571" s="3" t="inlineStr">
        <is>
          <t>생산관리지역</t>
        </is>
      </c>
      <c r="I11571" s="3" t="inlineStr">
        <is>
          <t>임야</t>
        </is>
      </c>
      <c r="J11571" s="3" t="inlineStr">
        <is>
          <t>장군면</t>
        </is>
      </c>
    </row>
    <row r="11572">
      <c r="A11572" s="3" t="n">
        <v>2026</v>
      </c>
      <c r="B11572" s="4" t="n">
        <v>596</v>
      </c>
      <c r="C11572" s="4" t="n">
        <v>167</v>
      </c>
      <c r="D11572" s="4" t="n">
        <v>50.5175</v>
      </c>
      <c r="E11572" s="5" t="n">
        <v>11.8</v>
      </c>
      <c r="F11572" s="3" t="inlineStr">
        <is>
          <t>유구읍</t>
        </is>
      </c>
      <c r="G11572" s="3" t="inlineStr">
        <is>
          <t>문금리</t>
        </is>
      </c>
      <c r="H11572" s="3" t="inlineStr">
        <is>
          <t>보전관리지역</t>
        </is>
      </c>
      <c r="I11572" s="3" t="inlineStr">
        <is>
          <t>답</t>
        </is>
      </c>
      <c r="J11572" s="3" t="inlineStr">
        <is>
          <t>유구읍</t>
        </is>
      </c>
    </row>
    <row r="11573">
      <c r="A11573" s="3" t="n">
        <v>2026</v>
      </c>
      <c r="B11573" s="4" t="n">
        <v>243</v>
      </c>
      <c r="C11573" s="4" t="n">
        <v>68</v>
      </c>
      <c r="D11573" s="4" t="n">
        <v>20.57</v>
      </c>
      <c r="E11573" s="5" t="n">
        <v>11.8</v>
      </c>
      <c r="F11573" s="3" t="inlineStr">
        <is>
          <t>유구읍</t>
        </is>
      </c>
      <c r="G11573" s="3" t="inlineStr">
        <is>
          <t>문금리</t>
        </is>
      </c>
      <c r="H11573" s="3" t="inlineStr">
        <is>
          <t>보전관리지역</t>
        </is>
      </c>
      <c r="I11573" s="3" t="inlineStr">
        <is>
          <t>답</t>
        </is>
      </c>
      <c r="J11573" s="3" t="inlineStr">
        <is>
          <t>유구읍</t>
        </is>
      </c>
    </row>
    <row r="11574">
      <c r="A11574" s="3" t="n">
        <v>2026</v>
      </c>
      <c r="B11574" s="4" t="n">
        <v>672</v>
      </c>
      <c r="C11574" s="4" t="n">
        <v>188</v>
      </c>
      <c r="D11574" s="4" t="n">
        <v>56.87</v>
      </c>
      <c r="E11574" s="5" t="n">
        <v>11.8</v>
      </c>
      <c r="F11574" s="3" t="inlineStr">
        <is>
          <t>유구읍</t>
        </is>
      </c>
      <c r="G11574" s="3" t="inlineStr">
        <is>
          <t>문금리</t>
        </is>
      </c>
      <c r="H11574" s="3" t="inlineStr">
        <is>
          <t>보전관리지역</t>
        </is>
      </c>
      <c r="I11574" s="3" t="inlineStr">
        <is>
          <t>답</t>
        </is>
      </c>
      <c r="J11574" s="3" t="inlineStr">
        <is>
          <t>유구읍</t>
        </is>
      </c>
    </row>
    <row r="11575">
      <c r="A11575" s="3" t="n">
        <v>2026</v>
      </c>
      <c r="B11575" s="4" t="n">
        <v>889</v>
      </c>
      <c r="C11575" s="4" t="n">
        <v>249</v>
      </c>
      <c r="D11575" s="4" t="n">
        <v>75.32249999999999</v>
      </c>
      <c r="E11575" s="5" t="n">
        <v>11.8</v>
      </c>
      <c r="F11575" s="3" t="inlineStr">
        <is>
          <t>유구읍</t>
        </is>
      </c>
      <c r="G11575" s="3" t="inlineStr">
        <is>
          <t>문금리</t>
        </is>
      </c>
      <c r="H11575" s="3" t="inlineStr">
        <is>
          <t>보전관리지역</t>
        </is>
      </c>
      <c r="I11575" s="3" t="inlineStr">
        <is>
          <t>답</t>
        </is>
      </c>
      <c r="J11575" s="3" t="inlineStr">
        <is>
          <t>유구읍</t>
        </is>
      </c>
    </row>
    <row r="11576">
      <c r="A11576" s="3" t="n">
        <v>2026</v>
      </c>
      <c r="B11576" s="4" t="n">
        <v>179</v>
      </c>
      <c r="C11576" s="4" t="n">
        <v>50</v>
      </c>
      <c r="D11576" s="4" t="n">
        <v>15.125</v>
      </c>
      <c r="E11576" s="5" t="n">
        <v>11.8</v>
      </c>
      <c r="F11576" s="3" t="inlineStr">
        <is>
          <t>유구읍</t>
        </is>
      </c>
      <c r="G11576" s="3" t="inlineStr">
        <is>
          <t>문금리</t>
        </is>
      </c>
      <c r="H11576" s="3" t="inlineStr">
        <is>
          <t>보전관리지역</t>
        </is>
      </c>
      <c r="I11576" s="3" t="inlineStr">
        <is>
          <t>답</t>
        </is>
      </c>
      <c r="J11576" s="3" t="inlineStr">
        <is>
          <t>유구읍</t>
        </is>
      </c>
    </row>
    <row r="11577">
      <c r="A11577" s="3" t="n">
        <v>2026</v>
      </c>
      <c r="B11577" s="4" t="n">
        <v>768</v>
      </c>
      <c r="C11577" s="4" t="n">
        <v>215</v>
      </c>
      <c r="D11577" s="4" t="n">
        <v>65.03749999999999</v>
      </c>
      <c r="E11577" s="5" t="n">
        <v>11.8</v>
      </c>
      <c r="F11577" s="3" t="inlineStr">
        <is>
          <t>유구읍</t>
        </is>
      </c>
      <c r="G11577" s="3" t="inlineStr">
        <is>
          <t>문금리</t>
        </is>
      </c>
      <c r="H11577" s="3" t="inlineStr">
        <is>
          <t>보전관리지역</t>
        </is>
      </c>
      <c r="I11577" s="3" t="inlineStr">
        <is>
          <t>답</t>
        </is>
      </c>
      <c r="J11577" s="3" t="inlineStr">
        <is>
          <t>유구읍</t>
        </is>
      </c>
    </row>
    <row r="11578">
      <c r="A11578" s="3" t="n">
        <v>2026</v>
      </c>
      <c r="B11578" s="4" t="n">
        <v>332</v>
      </c>
      <c r="C11578" s="4" t="n">
        <v>93</v>
      </c>
      <c r="D11578" s="4" t="n">
        <v>28.1325</v>
      </c>
      <c r="E11578" s="5" t="n">
        <v>11.8</v>
      </c>
      <c r="F11578" s="3" t="inlineStr">
        <is>
          <t>유구읍</t>
        </is>
      </c>
      <c r="G11578" s="3" t="inlineStr">
        <is>
          <t>문금리</t>
        </is>
      </c>
      <c r="H11578" s="3" t="inlineStr">
        <is>
          <t>보전관리지역</t>
        </is>
      </c>
      <c r="I11578" s="3" t="inlineStr">
        <is>
          <t>답</t>
        </is>
      </c>
      <c r="J11578" s="3" t="inlineStr">
        <is>
          <t>유구읍</t>
        </is>
      </c>
    </row>
    <row r="11579">
      <c r="A11579" s="3" t="n">
        <v>2026</v>
      </c>
      <c r="B11579" s="4" t="n">
        <v>7</v>
      </c>
      <c r="C11579" s="4" t="n">
        <v>2</v>
      </c>
      <c r="D11579" s="4" t="n">
        <v>0.605</v>
      </c>
      <c r="E11579" s="5" t="n">
        <v>11.6</v>
      </c>
      <c r="F11579" s="3" t="inlineStr">
        <is>
          <t>유구읍</t>
        </is>
      </c>
      <c r="G11579" s="3" t="inlineStr">
        <is>
          <t>문금리</t>
        </is>
      </c>
      <c r="H11579" s="3" t="inlineStr">
        <is>
          <t>농림지역</t>
        </is>
      </c>
      <c r="I11579" s="3" t="inlineStr">
        <is>
          <t>답</t>
        </is>
      </c>
      <c r="J11579" s="3" t="inlineStr">
        <is>
          <t>유구읍</t>
        </is>
      </c>
    </row>
    <row r="11580">
      <c r="A11580" s="3" t="n">
        <v>2026</v>
      </c>
      <c r="B11580" s="4" t="n">
        <v>36</v>
      </c>
      <c r="C11580" s="4" t="n">
        <v>10</v>
      </c>
      <c r="D11580" s="4" t="n">
        <v>3.025</v>
      </c>
      <c r="E11580" s="5" t="n">
        <v>11.9</v>
      </c>
      <c r="F11580" s="3" t="inlineStr">
        <is>
          <t>유구읍</t>
        </is>
      </c>
      <c r="G11580" s="3" t="inlineStr">
        <is>
          <t>문금리</t>
        </is>
      </c>
      <c r="H11580" s="3" t="inlineStr">
        <is>
          <t>보전관리지역</t>
        </is>
      </c>
      <c r="I11580" s="3" t="inlineStr">
        <is>
          <t>답</t>
        </is>
      </c>
      <c r="J11580" s="3" t="inlineStr">
        <is>
          <t>유구읍</t>
        </is>
      </c>
    </row>
    <row r="11581">
      <c r="A11581" s="3" t="n">
        <v>2026</v>
      </c>
      <c r="B11581" s="4" t="n">
        <v>6779</v>
      </c>
      <c r="C11581" s="4" t="n">
        <v>1898</v>
      </c>
      <c r="D11581" s="4" t="n">
        <v>574.145</v>
      </c>
      <c r="E11581" s="5" t="n">
        <v>11.8</v>
      </c>
      <c r="F11581" s="3" t="inlineStr">
        <is>
          <t>유구읍</t>
        </is>
      </c>
      <c r="G11581" s="3" t="inlineStr">
        <is>
          <t>문금리</t>
        </is>
      </c>
      <c r="H11581" s="3" t="inlineStr">
        <is>
          <t>보전관리지역</t>
        </is>
      </c>
      <c r="I11581" s="3" t="inlineStr">
        <is>
          <t>답</t>
        </is>
      </c>
      <c r="J11581" s="3" t="inlineStr">
        <is>
          <t>유구읍</t>
        </is>
      </c>
    </row>
    <row r="11582">
      <c r="A11582" s="3" t="n">
        <v>2026</v>
      </c>
      <c r="B11582" s="4" t="n">
        <v>8760</v>
      </c>
      <c r="C11582" s="4" t="n">
        <v>2411</v>
      </c>
      <c r="D11582" s="4" t="n">
        <v>729.3275</v>
      </c>
      <c r="E11582" s="5" t="n">
        <v>12</v>
      </c>
      <c r="F11582" s="3" t="inlineStr">
        <is>
          <t>유구읍</t>
        </is>
      </c>
      <c r="G11582" s="3" t="inlineStr">
        <is>
          <t>만천리</t>
        </is>
      </c>
      <c r="H11582" s="3" t="inlineStr">
        <is>
          <t>농림지역</t>
        </is>
      </c>
      <c r="I11582" s="3" t="inlineStr">
        <is>
          <t>답</t>
        </is>
      </c>
      <c r="J11582" s="3" t="inlineStr">
        <is>
          <t>유구읍</t>
        </is>
      </c>
    </row>
    <row r="11583">
      <c r="A11583" s="3" t="n">
        <v>2026</v>
      </c>
      <c r="B11583" s="4" t="n">
        <v>600</v>
      </c>
      <c r="C11583" s="4" t="n">
        <v>114</v>
      </c>
      <c r="D11583" s="4" t="n">
        <v>34.485</v>
      </c>
      <c r="E11583" s="5" t="n">
        <v>17.4</v>
      </c>
      <c r="F11583" s="3" t="inlineStr">
        <is>
          <t>유구읍</t>
        </is>
      </c>
      <c r="G11583" s="3" t="inlineStr">
        <is>
          <t>유구리</t>
        </is>
      </c>
      <c r="H11583" s="3" t="inlineStr">
        <is>
          <t>자연녹지지역</t>
        </is>
      </c>
      <c r="I11583" s="3" t="inlineStr">
        <is>
          <t>답</t>
        </is>
      </c>
      <c r="J11583" s="3" t="inlineStr">
        <is>
          <t>유구읍</t>
        </is>
      </c>
    </row>
    <row r="11584">
      <c r="A11584" s="3" t="n">
        <v>2026</v>
      </c>
      <c r="B11584" s="4" t="n">
        <v>1132</v>
      </c>
      <c r="C11584" s="4" t="n">
        <v>519</v>
      </c>
      <c r="D11584" s="4" t="n">
        <v>156.9975</v>
      </c>
      <c r="E11584" s="5" t="n">
        <v>7.2</v>
      </c>
      <c r="F11584" s="3" t="inlineStr">
        <is>
          <t>유구읍</t>
        </is>
      </c>
      <c r="G11584" s="3" t="inlineStr">
        <is>
          <t>탑곡리</t>
        </is>
      </c>
      <c r="H11584" s="3" t="inlineStr">
        <is>
          <t>계획관리지역</t>
        </is>
      </c>
      <c r="I11584" s="3" t="inlineStr">
        <is>
          <t>대</t>
        </is>
      </c>
      <c r="J11584" s="3" t="inlineStr">
        <is>
          <t>유구읍</t>
        </is>
      </c>
    </row>
    <row r="11585">
      <c r="A11585" s="3" t="n">
        <v>2026</v>
      </c>
      <c r="B11585" s="4" t="n">
        <v>2541</v>
      </c>
      <c r="C11585" s="4" t="n">
        <v>1339</v>
      </c>
      <c r="D11585" s="4" t="n">
        <v>405.0475</v>
      </c>
      <c r="E11585" s="5" t="n">
        <v>6.3</v>
      </c>
      <c r="F11585" s="3" t="inlineStr">
        <is>
          <t>유구읍</t>
        </is>
      </c>
      <c r="G11585" s="3" t="inlineStr">
        <is>
          <t>탑곡리</t>
        </is>
      </c>
      <c r="H11585" s="3" t="inlineStr">
        <is>
          <t>계획관리지역</t>
        </is>
      </c>
      <c r="I11585" s="3" t="inlineStr">
        <is>
          <t>전</t>
        </is>
      </c>
      <c r="J11585" s="3" t="inlineStr">
        <is>
          <t>유구읍</t>
        </is>
      </c>
    </row>
    <row r="11586">
      <c r="A11586" s="3" t="n">
        <v>2026</v>
      </c>
      <c r="B11586" s="4" t="n">
        <v>627</v>
      </c>
      <c r="C11586" s="4" t="n">
        <v>221</v>
      </c>
      <c r="D11586" s="4" t="n">
        <v>66.85249999999999</v>
      </c>
      <c r="E11586" s="5" t="n">
        <v>9.4</v>
      </c>
      <c r="F11586" s="3" t="inlineStr">
        <is>
          <t>유구읍</t>
        </is>
      </c>
      <c r="G11586" s="3" t="inlineStr">
        <is>
          <t>탑곡리</t>
        </is>
      </c>
      <c r="H11586" s="3" t="inlineStr">
        <is>
          <t>계획관리지역</t>
        </is>
      </c>
      <c r="I11586" s="3" t="inlineStr">
        <is>
          <t>대</t>
        </is>
      </c>
      <c r="J11586" s="3" t="inlineStr">
        <is>
          <t>유구읍</t>
        </is>
      </c>
    </row>
    <row r="11587">
      <c r="A11587" s="3" t="n">
        <v>2026</v>
      </c>
      <c r="B11587" s="4" t="n">
        <v>2940</v>
      </c>
      <c r="C11587" s="4" t="n">
        <v>243</v>
      </c>
      <c r="D11587" s="4" t="n">
        <v>73.50749999999999</v>
      </c>
      <c r="E11587" s="5" t="n">
        <v>40</v>
      </c>
      <c r="F11587" s="3" t="inlineStr">
        <is>
          <t>유구읍</t>
        </is>
      </c>
      <c r="G11587" s="3" t="inlineStr">
        <is>
          <t>만천리</t>
        </is>
      </c>
      <c r="H11587" s="3" t="inlineStr">
        <is>
          <t>계획관리지역</t>
        </is>
      </c>
      <c r="I11587" s="3" t="inlineStr">
        <is>
          <t>하천</t>
        </is>
      </c>
      <c r="J11587" s="3" t="inlineStr">
        <is>
          <t>유구읍</t>
        </is>
      </c>
    </row>
    <row r="11588">
      <c r="A11588" s="3" t="n">
        <v>2026</v>
      </c>
      <c r="B11588" s="4" t="n">
        <v>12770</v>
      </c>
      <c r="C11588" s="4" t="n">
        <v>2241</v>
      </c>
      <c r="D11588" s="4" t="n">
        <v>677.9025</v>
      </c>
      <c r="E11588" s="5" t="n">
        <v>18.8</v>
      </c>
      <c r="F11588" s="3" t="inlineStr">
        <is>
          <t>유구읍</t>
        </is>
      </c>
      <c r="G11588" s="3" t="inlineStr">
        <is>
          <t>추계리</t>
        </is>
      </c>
      <c r="H11588" s="3" t="inlineStr">
        <is>
          <t>계획관리지역</t>
        </is>
      </c>
      <c r="I11588" s="3" t="inlineStr">
        <is>
          <t>전</t>
        </is>
      </c>
      <c r="J11588" s="3" t="inlineStr">
        <is>
          <t>유구읍</t>
        </is>
      </c>
    </row>
    <row r="11589">
      <c r="A11589" s="3" t="n">
        <v>2026</v>
      </c>
      <c r="B11589" s="4" t="n">
        <v>2890</v>
      </c>
      <c r="C11589" s="4" t="n">
        <v>506</v>
      </c>
      <c r="D11589" s="4" t="n">
        <v>153.065</v>
      </c>
      <c r="E11589" s="5" t="n">
        <v>18.9</v>
      </c>
      <c r="F11589" s="3" t="inlineStr">
        <is>
          <t>유구읍</t>
        </is>
      </c>
      <c r="G11589" s="3" t="inlineStr">
        <is>
          <t>추계리</t>
        </is>
      </c>
      <c r="H11589" s="3" t="inlineStr">
        <is>
          <t>계획관리지역</t>
        </is>
      </c>
      <c r="I11589" s="3" t="inlineStr">
        <is>
          <t>답</t>
        </is>
      </c>
      <c r="J11589" s="3" t="inlineStr">
        <is>
          <t>유구읍</t>
        </is>
      </c>
    </row>
    <row r="11590">
      <c r="A11590" s="3" t="n">
        <v>2026</v>
      </c>
      <c r="B11590" s="4" t="n">
        <v>3060</v>
      </c>
      <c r="C11590" s="4" t="n">
        <v>536</v>
      </c>
      <c r="D11590" s="4" t="n">
        <v>162.14</v>
      </c>
      <c r="E11590" s="5" t="n">
        <v>18.9</v>
      </c>
      <c r="F11590" s="3" t="inlineStr">
        <is>
          <t>유구읍</t>
        </is>
      </c>
      <c r="G11590" s="3" t="inlineStr">
        <is>
          <t>추계리</t>
        </is>
      </c>
      <c r="H11590" s="3" t="inlineStr">
        <is>
          <t>계획관리지역</t>
        </is>
      </c>
      <c r="I11590" s="3" t="inlineStr">
        <is>
          <t>전</t>
        </is>
      </c>
      <c r="J11590" s="3" t="inlineStr">
        <is>
          <t>유구읍</t>
        </is>
      </c>
    </row>
    <row r="11591">
      <c r="A11591" s="3" t="n">
        <v>2026</v>
      </c>
      <c r="B11591" s="4" t="n">
        <v>8230</v>
      </c>
      <c r="C11591" s="4" t="n">
        <v>1444</v>
      </c>
      <c r="D11591" s="4" t="n">
        <v>436.81</v>
      </c>
      <c r="E11591" s="5" t="n">
        <v>18.8</v>
      </c>
      <c r="F11591" s="3" t="inlineStr">
        <is>
          <t>유구읍</t>
        </is>
      </c>
      <c r="G11591" s="3" t="inlineStr">
        <is>
          <t>추계리</t>
        </is>
      </c>
      <c r="H11591" s="3" t="inlineStr">
        <is>
          <t>계획관리지역</t>
        </is>
      </c>
      <c r="I11591" s="3" t="inlineStr">
        <is>
          <t>전</t>
        </is>
      </c>
      <c r="J11591" s="3" t="inlineStr">
        <is>
          <t>유구읍</t>
        </is>
      </c>
    </row>
    <row r="11592">
      <c r="A11592" s="3" t="n">
        <v>2026</v>
      </c>
      <c r="B11592" s="4" t="n">
        <v>7500</v>
      </c>
      <c r="C11592" s="4" t="n">
        <v>2057</v>
      </c>
      <c r="D11592" s="4" t="n">
        <v>622.2424999999999</v>
      </c>
      <c r="E11592" s="5" t="n">
        <v>12.1</v>
      </c>
      <c r="F11592" s="3" t="inlineStr">
        <is>
          <t>유구읍</t>
        </is>
      </c>
      <c r="G11592" s="3" t="inlineStr">
        <is>
          <t>유구리</t>
        </is>
      </c>
      <c r="H11592" s="3" t="inlineStr">
        <is>
          <t>농림지역</t>
        </is>
      </c>
      <c r="I11592" s="3" t="inlineStr">
        <is>
          <t>전</t>
        </is>
      </c>
      <c r="J11592" s="3" t="inlineStr">
        <is>
          <t>유구읍</t>
        </is>
      </c>
    </row>
    <row r="11593">
      <c r="A11593" s="3" t="n">
        <v>2026</v>
      </c>
      <c r="B11593" s="4" t="n">
        <v>2500</v>
      </c>
      <c r="C11593" s="4" t="n">
        <v>360</v>
      </c>
      <c r="D11593" s="4" t="n">
        <v>108.9</v>
      </c>
      <c r="E11593" s="5" t="n">
        <v>23</v>
      </c>
      <c r="F11593" s="3" t="inlineStr">
        <is>
          <t>유구읍</t>
        </is>
      </c>
      <c r="G11593" s="3" t="inlineStr">
        <is>
          <t>신달리</t>
        </is>
      </c>
      <c r="H11593" s="3" t="inlineStr">
        <is>
          <t>보전관리지역</t>
        </is>
      </c>
      <c r="I11593" s="3" t="inlineStr">
        <is>
          <t>전</t>
        </is>
      </c>
      <c r="J11593" s="3" t="inlineStr">
        <is>
          <t>유구읍</t>
        </is>
      </c>
    </row>
    <row r="11594">
      <c r="A11594" s="3" t="n">
        <v>2026</v>
      </c>
      <c r="B11594" s="4" t="n">
        <v>4200</v>
      </c>
      <c r="C11594" s="4" t="n">
        <v>436</v>
      </c>
      <c r="D11594" s="4" t="n">
        <v>131.89</v>
      </c>
      <c r="E11594" s="5" t="n">
        <v>31.8</v>
      </c>
      <c r="F11594" s="3" t="inlineStr">
        <is>
          <t>유구읍</t>
        </is>
      </c>
      <c r="G11594" s="3" t="inlineStr">
        <is>
          <t>신달리</t>
        </is>
      </c>
      <c r="H11594" s="3" t="inlineStr">
        <is>
          <t>계획관리지역</t>
        </is>
      </c>
      <c r="I11594" s="3" t="inlineStr">
        <is>
          <t>대</t>
        </is>
      </c>
      <c r="J11594" s="3" t="inlineStr">
        <is>
          <t>유구읍</t>
        </is>
      </c>
    </row>
    <row r="11595">
      <c r="A11595" s="3" t="n">
        <v>2026</v>
      </c>
      <c r="B11595" s="4" t="n">
        <v>2300</v>
      </c>
      <c r="C11595" s="4" t="n">
        <v>235</v>
      </c>
      <c r="D11595" s="4" t="n">
        <v>71.08749999999999</v>
      </c>
      <c r="E11595" s="5" t="n">
        <v>32.4</v>
      </c>
      <c r="F11595" s="3" t="inlineStr">
        <is>
          <t>유구읍</t>
        </is>
      </c>
      <c r="G11595" s="3" t="inlineStr">
        <is>
          <t>신달리</t>
        </is>
      </c>
      <c r="H11595" s="3" t="inlineStr">
        <is>
          <t>계획관리지역</t>
        </is>
      </c>
      <c r="I11595" s="3" t="inlineStr">
        <is>
          <t>대</t>
        </is>
      </c>
      <c r="J11595" s="3" t="inlineStr">
        <is>
          <t>유구읍</t>
        </is>
      </c>
    </row>
    <row r="11596">
      <c r="A11596" s="3" t="n">
        <v>2026</v>
      </c>
      <c r="B11596" s="4" t="n">
        <v>778</v>
      </c>
      <c r="C11596" s="4" t="n">
        <v>509</v>
      </c>
      <c r="D11596" s="4" t="n">
        <v>153.9725</v>
      </c>
      <c r="E11596" s="5" t="n">
        <v>5.1</v>
      </c>
      <c r="F11596" s="3" t="inlineStr">
        <is>
          <t>유구읍</t>
        </is>
      </c>
      <c r="G11596" s="3" t="inlineStr">
        <is>
          <t>연종리</t>
        </is>
      </c>
      <c r="H11596" s="3" t="inlineStr">
        <is>
          <t>생산관리지역</t>
        </is>
      </c>
      <c r="I11596" s="3" t="inlineStr">
        <is>
          <t>하천</t>
        </is>
      </c>
      <c r="J11596" s="3" t="inlineStr">
        <is>
          <t>유구읍</t>
        </is>
      </c>
    </row>
    <row r="11597">
      <c r="A11597" s="3" t="n">
        <v>2026</v>
      </c>
      <c r="B11597" s="4" t="n">
        <v>2223</v>
      </c>
      <c r="C11597" s="4" t="n">
        <v>1455</v>
      </c>
      <c r="D11597" s="4" t="n">
        <v>440.1375</v>
      </c>
      <c r="E11597" s="5" t="n">
        <v>5.1</v>
      </c>
      <c r="F11597" s="3" t="inlineStr">
        <is>
          <t>유구읍</t>
        </is>
      </c>
      <c r="G11597" s="3" t="inlineStr">
        <is>
          <t>연종리</t>
        </is>
      </c>
      <c r="H11597" s="3" t="inlineStr">
        <is>
          <t>생산관리지역</t>
        </is>
      </c>
      <c r="I11597" s="3" t="inlineStr">
        <is>
          <t>답</t>
        </is>
      </c>
      <c r="J11597" s="3" t="inlineStr">
        <is>
          <t>유구읍</t>
        </is>
      </c>
    </row>
    <row r="11598">
      <c r="A11598" s="3" t="n">
        <v>2026</v>
      </c>
      <c r="B11598" s="4" t="n">
        <v>2670</v>
      </c>
      <c r="C11598" s="4" t="n">
        <v>1256</v>
      </c>
      <c r="D11598" s="4" t="n">
        <v>379.94</v>
      </c>
      <c r="E11598" s="5" t="n">
        <v>7</v>
      </c>
      <c r="F11598" s="3" t="inlineStr">
        <is>
          <t>유구읍</t>
        </is>
      </c>
      <c r="G11598" s="3" t="inlineStr">
        <is>
          <t>백교리</t>
        </is>
      </c>
      <c r="H11598" s="3" t="inlineStr">
        <is>
          <t>계획관리지역</t>
        </is>
      </c>
      <c r="I11598" s="3" t="inlineStr">
        <is>
          <t>답</t>
        </is>
      </c>
      <c r="J11598" s="3" t="inlineStr">
        <is>
          <t>유구읍</t>
        </is>
      </c>
    </row>
    <row r="11599">
      <c r="A11599" s="3" t="n">
        <v>2026</v>
      </c>
      <c r="B11599" s="4" t="n">
        <v>9950</v>
      </c>
      <c r="C11599" s="4" t="n">
        <v>561</v>
      </c>
      <c r="D11599" s="4" t="n">
        <v>169.7025</v>
      </c>
      <c r="E11599" s="5" t="n">
        <v>58.6</v>
      </c>
      <c r="F11599" s="3" t="inlineStr">
        <is>
          <t>유구읍</t>
        </is>
      </c>
      <c r="G11599" s="3" t="inlineStr">
        <is>
          <t>유구리</t>
        </is>
      </c>
      <c r="H11599" s="3" t="inlineStr">
        <is>
          <t>계획관리지역</t>
        </is>
      </c>
      <c r="I11599" s="3" t="inlineStr">
        <is>
          <t>답</t>
        </is>
      </c>
      <c r="J11599" s="3" t="inlineStr">
        <is>
          <t>유구읍</t>
        </is>
      </c>
    </row>
    <row r="11600">
      <c r="A11600" s="3" t="n">
        <v>2026</v>
      </c>
      <c r="B11600" s="4" t="n">
        <v>1050</v>
      </c>
      <c r="C11600" s="4" t="n">
        <v>62</v>
      </c>
      <c r="D11600" s="4" t="n">
        <v>18.755</v>
      </c>
      <c r="E11600" s="5" t="n">
        <v>56</v>
      </c>
      <c r="F11600" s="3" t="inlineStr">
        <is>
          <t>유구읍</t>
        </is>
      </c>
      <c r="G11600" s="3" t="inlineStr">
        <is>
          <t>유구리</t>
        </is>
      </c>
      <c r="H11600" s="3" t="inlineStr">
        <is>
          <t>계획관리지역</t>
        </is>
      </c>
      <c r="I11600" s="3" t="inlineStr">
        <is>
          <t>전</t>
        </is>
      </c>
      <c r="J11600" s="3" t="inlineStr">
        <is>
          <t>유구읍</t>
        </is>
      </c>
    </row>
    <row r="11601">
      <c r="A11601" s="3" t="n">
        <v>2026</v>
      </c>
      <c r="B11601" s="4" t="n">
        <v>2550</v>
      </c>
      <c r="C11601" s="4" t="n">
        <v>853</v>
      </c>
      <c r="D11601" s="4" t="n">
        <v>258.0325</v>
      </c>
      <c r="E11601" s="5" t="n">
        <v>9.9</v>
      </c>
      <c r="F11601" s="3" t="inlineStr">
        <is>
          <t>유구읍</t>
        </is>
      </c>
      <c r="G11601" s="3" t="inlineStr">
        <is>
          <t>명곡리</t>
        </is>
      </c>
      <c r="H11601" s="3" t="inlineStr">
        <is>
          <t>계획관리지역</t>
        </is>
      </c>
      <c r="I11601" s="3" t="inlineStr">
        <is>
          <t>전</t>
        </is>
      </c>
      <c r="J11601" s="3" t="inlineStr">
        <is>
          <t>유구읍</t>
        </is>
      </c>
    </row>
    <row r="11602">
      <c r="A11602" s="3" t="n">
        <v>2022</v>
      </c>
      <c r="B11602" s="4" t="n">
        <v>48600</v>
      </c>
      <c r="C11602" s="4" t="n">
        <v>1785</v>
      </c>
      <c r="D11602" s="4" t="n">
        <v>539.9625</v>
      </c>
      <c r="E11602" s="5" t="n">
        <v>90</v>
      </c>
      <c r="F11602" s="3" t="inlineStr">
        <is>
          <t>연서면</t>
        </is>
      </c>
      <c r="G11602" s="3" t="inlineStr">
        <is>
          <t>쌍류리</t>
        </is>
      </c>
      <c r="H11602" s="3" t="inlineStr">
        <is>
          <t>계획관리지역</t>
        </is>
      </c>
      <c r="I11602" s="3" t="inlineStr">
        <is>
          <t>대</t>
        </is>
      </c>
      <c r="J11602" s="3" t="inlineStr">
        <is>
          <t>연서면</t>
        </is>
      </c>
    </row>
    <row r="11603">
      <c r="A11603" s="3" t="n">
        <v>2022</v>
      </c>
      <c r="B11603" s="4" t="n">
        <v>3940</v>
      </c>
      <c r="C11603" s="4" t="n">
        <v>223</v>
      </c>
      <c r="D11603" s="4" t="n">
        <v>67.4575</v>
      </c>
      <c r="E11603" s="5" t="n">
        <v>58.4</v>
      </c>
      <c r="F11603" s="3" t="inlineStr">
        <is>
          <t>연서면</t>
        </is>
      </c>
      <c r="G11603" s="3" t="inlineStr">
        <is>
          <t>쌍류리</t>
        </is>
      </c>
      <c r="H11603" s="3" t="inlineStr">
        <is>
          <t>보전관리지역</t>
        </is>
      </c>
      <c r="I11603" s="3" t="inlineStr">
        <is>
          <t>임야</t>
        </is>
      </c>
      <c r="J11603" s="3" t="inlineStr">
        <is>
          <t>연서면</t>
        </is>
      </c>
    </row>
    <row r="11604">
      <c r="A11604" s="3" t="n">
        <v>2022</v>
      </c>
      <c r="B11604" s="4" t="n">
        <v>34560</v>
      </c>
      <c r="C11604" s="4" t="n">
        <v>1428</v>
      </c>
      <c r="D11604" s="4" t="n">
        <v>431.97</v>
      </c>
      <c r="E11604" s="5" t="n">
        <v>80</v>
      </c>
      <c r="F11604" s="3" t="inlineStr">
        <is>
          <t>연서면</t>
        </is>
      </c>
      <c r="G11604" s="3" t="inlineStr">
        <is>
          <t>쌍류리</t>
        </is>
      </c>
      <c r="H11604" s="3" t="inlineStr">
        <is>
          <t>생산관리지역</t>
        </is>
      </c>
      <c r="I11604" s="3" t="inlineStr">
        <is>
          <t>전</t>
        </is>
      </c>
      <c r="J11604" s="3" t="inlineStr">
        <is>
          <t>연서면</t>
        </is>
      </c>
    </row>
    <row r="11605">
      <c r="A11605" s="3" t="n">
        <v>2022</v>
      </c>
      <c r="B11605" s="4" t="n">
        <v>55500</v>
      </c>
      <c r="C11605" s="4" t="n">
        <v>2171</v>
      </c>
      <c r="D11605" s="4" t="n">
        <v>656.7275</v>
      </c>
      <c r="E11605" s="5" t="n">
        <v>84.5</v>
      </c>
      <c r="F11605" s="3" t="inlineStr">
        <is>
          <t>금남면</t>
        </is>
      </c>
      <c r="G11605" s="3" t="inlineStr">
        <is>
          <t>성강리</t>
        </is>
      </c>
      <c r="H11605" s="3" t="inlineStr">
        <is>
          <t>농림지역</t>
        </is>
      </c>
      <c r="I11605" s="3" t="inlineStr">
        <is>
          <t>답</t>
        </is>
      </c>
      <c r="J11605" s="3" t="inlineStr">
        <is>
          <t>금남면</t>
        </is>
      </c>
    </row>
    <row r="11606">
      <c r="A11606" s="3" t="n">
        <v>2022</v>
      </c>
      <c r="B11606" s="4" t="n">
        <v>58838</v>
      </c>
      <c r="C11606" s="4" t="n">
        <v>12297</v>
      </c>
      <c r="D11606" s="4" t="n">
        <v>3719.8425</v>
      </c>
      <c r="E11606" s="5" t="n">
        <v>15.8</v>
      </c>
      <c r="F11606" s="3" t="inlineStr">
        <is>
          <t>전의면</t>
        </is>
      </c>
      <c r="G11606" s="3" t="inlineStr">
        <is>
          <t>달전리</t>
        </is>
      </c>
      <c r="H11606" s="3" t="inlineStr">
        <is>
          <t>생산관리지역</t>
        </is>
      </c>
      <c r="I11606" s="3" t="inlineStr">
        <is>
          <t>답</t>
        </is>
      </c>
      <c r="J11606" s="3" t="inlineStr">
        <is>
          <t>전의면</t>
        </is>
      </c>
    </row>
    <row r="11607">
      <c r="A11607" s="3" t="n">
        <v>2022</v>
      </c>
      <c r="B11607" s="4" t="n">
        <v>768</v>
      </c>
      <c r="C11607" s="4" t="n">
        <v>212</v>
      </c>
      <c r="D11607" s="4" t="n">
        <v>64.13</v>
      </c>
      <c r="E11607" s="5" t="n">
        <v>12</v>
      </c>
      <c r="F11607" s="3" t="inlineStr">
        <is>
          <t>전의면</t>
        </is>
      </c>
      <c r="G11607" s="3" t="inlineStr">
        <is>
          <t>달전리</t>
        </is>
      </c>
      <c r="H11607" s="3" t="inlineStr">
        <is>
          <t>보전관리지역</t>
        </is>
      </c>
      <c r="I11607" s="3" t="inlineStr">
        <is>
          <t>전</t>
        </is>
      </c>
      <c r="J11607" s="3" t="inlineStr">
        <is>
          <t>전의면</t>
        </is>
      </c>
    </row>
    <row r="11608">
      <c r="A11608" s="3" t="n">
        <v>2022</v>
      </c>
      <c r="B11608" s="4" t="n">
        <v>1743</v>
      </c>
      <c r="C11608" s="4" t="n">
        <v>674</v>
      </c>
      <c r="D11608" s="4" t="n">
        <v>203.885</v>
      </c>
      <c r="E11608" s="5" t="n">
        <v>8.5</v>
      </c>
      <c r="F11608" s="3" t="inlineStr">
        <is>
          <t>전의면</t>
        </is>
      </c>
      <c r="G11608" s="3" t="inlineStr">
        <is>
          <t>달전리</t>
        </is>
      </c>
      <c r="H11608" s="3" t="inlineStr">
        <is>
          <t>보전관리지역</t>
        </is>
      </c>
      <c r="I11608" s="3" t="inlineStr">
        <is>
          <t>전</t>
        </is>
      </c>
      <c r="J11608" s="3" t="inlineStr">
        <is>
          <t>전의면</t>
        </is>
      </c>
    </row>
    <row r="11609">
      <c r="A11609" s="3" t="n">
        <v>2022</v>
      </c>
      <c r="B11609" s="4" t="n">
        <v>37600</v>
      </c>
      <c r="C11609" s="4" t="n">
        <v>2486.4</v>
      </c>
      <c r="D11609" s="4" t="n">
        <v>752.136</v>
      </c>
      <c r="E11609" s="5" t="n">
        <v>50</v>
      </c>
      <c r="F11609" s="3" t="inlineStr">
        <is>
          <t>장군면</t>
        </is>
      </c>
      <c r="G11609" s="3" t="inlineStr">
        <is>
          <t>송학리</t>
        </is>
      </c>
      <c r="H11609" s="3" t="inlineStr">
        <is>
          <t>농림지역</t>
        </is>
      </c>
      <c r="I11609" s="3" t="inlineStr">
        <is>
          <t>답</t>
        </is>
      </c>
      <c r="J11609" s="3" t="inlineStr">
        <is>
          <t>장군면</t>
        </is>
      </c>
    </row>
    <row r="11610">
      <c r="A11610" s="3" t="n">
        <v>2022</v>
      </c>
      <c r="B11610" s="4" t="n">
        <v>47250</v>
      </c>
      <c r="C11610" s="4" t="n">
        <v>711</v>
      </c>
      <c r="D11610" s="4" t="n">
        <v>215.0775</v>
      </c>
      <c r="E11610" s="5" t="n">
        <v>219.7</v>
      </c>
      <c r="F11610" s="3" t="inlineStr">
        <is>
          <t>장군면</t>
        </is>
      </c>
      <c r="G11610" s="3" t="inlineStr">
        <is>
          <t>은용리</t>
        </is>
      </c>
      <c r="H11610" s="3" t="inlineStr">
        <is>
          <t>계획관리지역</t>
        </is>
      </c>
      <c r="I11610" s="3" t="inlineStr">
        <is>
          <t>답</t>
        </is>
      </c>
      <c r="J11610" s="3" t="inlineStr">
        <is>
          <t>장군면</t>
        </is>
      </c>
    </row>
    <row r="11611">
      <c r="A11611" s="3" t="n">
        <v>2022</v>
      </c>
      <c r="B11611" s="4" t="n">
        <v>569799</v>
      </c>
      <c r="C11611" s="4" t="n">
        <v>9969</v>
      </c>
      <c r="D11611" s="4" t="n">
        <v>3015.6225</v>
      </c>
      <c r="E11611" s="5" t="n">
        <v>188.9</v>
      </c>
      <c r="F11611" s="3" t="inlineStr">
        <is>
          <t>연서면</t>
        </is>
      </c>
      <c r="G11611" s="3" t="inlineStr">
        <is>
          <t>월하리</t>
        </is>
      </c>
      <c r="H11611" s="3" t="inlineStr">
        <is>
          <t>보전녹지지역</t>
        </is>
      </c>
      <c r="I11611" s="3" t="inlineStr">
        <is>
          <t>과수원</t>
        </is>
      </c>
      <c r="J11611" s="3" t="inlineStr">
        <is>
          <t>연서면</t>
        </is>
      </c>
    </row>
    <row r="11612">
      <c r="A11612" s="3" t="n">
        <v>2022</v>
      </c>
      <c r="B11612" s="4" t="n">
        <v>75000</v>
      </c>
      <c r="C11612" s="4" t="n">
        <v>849</v>
      </c>
      <c r="D11612" s="4" t="n">
        <v>256.8225</v>
      </c>
      <c r="E11612" s="5" t="n">
        <v>292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보전녹지지역</t>
        </is>
      </c>
      <c r="I11612" s="3" t="inlineStr">
        <is>
          <t>과수원</t>
        </is>
      </c>
      <c r="J11612" s="3" t="inlineStr">
        <is>
          <t>연서면</t>
        </is>
      </c>
    </row>
    <row r="11613">
      <c r="A11613" s="3" t="n">
        <v>2022</v>
      </c>
      <c r="B11613" s="4" t="n">
        <v>33278</v>
      </c>
      <c r="C11613" s="4" t="n">
        <v>179</v>
      </c>
      <c r="D11613" s="4" t="n">
        <v>54.1475</v>
      </c>
      <c r="E11613" s="5" t="n">
        <v>614.6</v>
      </c>
      <c r="F11613" s="3" t="inlineStr">
        <is>
          <t>연서면</t>
        </is>
      </c>
      <c r="G11613" s="3" t="inlineStr">
        <is>
          <t>월하리</t>
        </is>
      </c>
      <c r="H11613" s="3" t="inlineStr">
        <is>
          <t>제2종일반주거지역</t>
        </is>
      </c>
      <c r="I11613" s="3" t="inlineStr">
        <is>
          <t>과수원</t>
        </is>
      </c>
      <c r="J11613" s="3" t="inlineStr">
        <is>
          <t>연서면</t>
        </is>
      </c>
    </row>
    <row r="11614">
      <c r="A11614" s="3" t="n">
        <v>2022</v>
      </c>
      <c r="B11614" s="4" t="n">
        <v>97642</v>
      </c>
      <c r="C11614" s="4" t="n">
        <v>1086</v>
      </c>
      <c r="D11614" s="4" t="n">
        <v>328.515</v>
      </c>
      <c r="E11614" s="5" t="n">
        <v>297.2</v>
      </c>
      <c r="F11614" s="3" t="inlineStr">
        <is>
          <t>연서면</t>
        </is>
      </c>
      <c r="G11614" s="3" t="inlineStr">
        <is>
          <t>월하리</t>
        </is>
      </c>
      <c r="H11614" s="3" t="inlineStr">
        <is>
          <t>제2종일반주거지역</t>
        </is>
      </c>
      <c r="I11614" s="3" t="inlineStr">
        <is>
          <t>과수원</t>
        </is>
      </c>
      <c r="J11614" s="3" t="inlineStr">
        <is>
          <t>연서면</t>
        </is>
      </c>
    </row>
    <row r="11615">
      <c r="A11615" s="3" t="n">
        <v>2022</v>
      </c>
      <c r="B11615" s="4" t="n">
        <v>71000</v>
      </c>
      <c r="C11615" s="4" t="n">
        <v>762.6</v>
      </c>
      <c r="D11615" s="4" t="n">
        <v>230.6865</v>
      </c>
      <c r="E11615" s="5" t="n">
        <v>307.8</v>
      </c>
      <c r="F11615" s="3" t="inlineStr">
        <is>
          <t>조치원읍</t>
        </is>
      </c>
      <c r="G11615" s="3" t="inlineStr">
        <is>
          <t>남리</t>
        </is>
      </c>
      <c r="H11615" s="3" t="inlineStr">
        <is>
          <t>제2종일반주거지역</t>
        </is>
      </c>
      <c r="I11615" s="3" t="inlineStr">
        <is>
          <t>대</t>
        </is>
      </c>
      <c r="J11615" s="3" t="inlineStr">
        <is>
          <t>조치원읍</t>
        </is>
      </c>
    </row>
    <row r="11616">
      <c r="A11616" s="3" t="n">
        <v>2022</v>
      </c>
      <c r="B11616" s="4" t="n">
        <v>36000</v>
      </c>
      <c r="C11616" s="4" t="n">
        <v>1653</v>
      </c>
      <c r="D11616" s="4" t="n">
        <v>500.0325</v>
      </c>
      <c r="E11616" s="5" t="n">
        <v>72</v>
      </c>
      <c r="F11616" s="3" t="inlineStr">
        <is>
          <t>전의면</t>
        </is>
      </c>
      <c r="G11616" s="3" t="inlineStr">
        <is>
          <t>신정리</t>
        </is>
      </c>
      <c r="H11616" s="3" t="inlineStr">
        <is>
          <t>농림지역</t>
        </is>
      </c>
      <c r="I11616" s="3" t="inlineStr">
        <is>
          <t>임야</t>
        </is>
      </c>
      <c r="J11616" s="3" t="inlineStr">
        <is>
          <t>전의면</t>
        </is>
      </c>
    </row>
    <row r="11617">
      <c r="A11617" s="3" t="n">
        <v>2022</v>
      </c>
      <c r="B11617" s="4" t="n">
        <v>35000</v>
      </c>
      <c r="C11617" s="4" t="n">
        <v>2314</v>
      </c>
      <c r="D11617" s="4" t="n">
        <v>699.985</v>
      </c>
      <c r="E11617" s="5" t="n">
        <v>50</v>
      </c>
      <c r="F11617" s="3" t="inlineStr">
        <is>
          <t>전의면</t>
        </is>
      </c>
      <c r="G11617" s="3" t="inlineStr">
        <is>
          <t>신정리</t>
        </is>
      </c>
      <c r="H11617" s="3" t="inlineStr">
        <is>
          <t>농림지역</t>
        </is>
      </c>
      <c r="I11617" s="3" t="inlineStr">
        <is>
          <t>임야</t>
        </is>
      </c>
      <c r="J11617" s="3" t="inlineStr">
        <is>
          <t>전의면</t>
        </is>
      </c>
    </row>
    <row r="11618">
      <c r="A11618" s="3" t="n">
        <v>2022</v>
      </c>
      <c r="B11618" s="4" t="n">
        <v>5467</v>
      </c>
      <c r="C11618" s="4" t="n">
        <v>1653</v>
      </c>
      <c r="D11618" s="4" t="n">
        <v>500.0325</v>
      </c>
      <c r="E11618" s="5" t="n">
        <v>10.9</v>
      </c>
      <c r="F11618" s="3" t="inlineStr">
        <is>
          <t>전의면</t>
        </is>
      </c>
      <c r="G11618" s="3" t="inlineStr">
        <is>
          <t>신정리</t>
        </is>
      </c>
      <c r="H11618" s="3" t="inlineStr">
        <is>
          <t>농림지역</t>
        </is>
      </c>
      <c r="I11618" s="3" t="inlineStr">
        <is>
          <t>임야</t>
        </is>
      </c>
      <c r="J11618" s="3" t="inlineStr">
        <is>
          <t>전의면</t>
        </is>
      </c>
    </row>
    <row r="11619">
      <c r="A11619" s="3" t="n">
        <v>2022</v>
      </c>
      <c r="B11619" s="4" t="n">
        <v>14813</v>
      </c>
      <c r="C11619" s="4" t="n">
        <v>4479</v>
      </c>
      <c r="D11619" s="4" t="n">
        <v>1354.8975</v>
      </c>
      <c r="E11619" s="5" t="n">
        <v>10.9</v>
      </c>
      <c r="F11619" s="3" t="inlineStr">
        <is>
          <t>전의면</t>
        </is>
      </c>
      <c r="G11619" s="3" t="inlineStr">
        <is>
          <t>신정리</t>
        </is>
      </c>
      <c r="H11619" s="3" t="inlineStr">
        <is>
          <t>농림지역</t>
        </is>
      </c>
      <c r="I11619" s="3" t="inlineStr">
        <is>
          <t>임야</t>
        </is>
      </c>
      <c r="J11619" s="3" t="inlineStr">
        <is>
          <t>전의면</t>
        </is>
      </c>
    </row>
    <row r="11620">
      <c r="A11620" s="3" t="n">
        <v>2022</v>
      </c>
      <c r="B11620" s="4" t="n">
        <v>7653</v>
      </c>
      <c r="C11620" s="4" t="n">
        <v>2314</v>
      </c>
      <c r="D11620" s="4" t="n">
        <v>699.985</v>
      </c>
      <c r="E11620" s="5" t="n">
        <v>10.9</v>
      </c>
      <c r="F11620" s="3" t="inlineStr">
        <is>
          <t>전의면</t>
        </is>
      </c>
      <c r="G11620" s="3" t="inlineStr">
        <is>
          <t>신정리</t>
        </is>
      </c>
      <c r="H11620" s="3" t="inlineStr">
        <is>
          <t>농림지역</t>
        </is>
      </c>
      <c r="I11620" s="3" t="inlineStr">
        <is>
          <t>임야</t>
        </is>
      </c>
      <c r="J11620" s="3" t="inlineStr">
        <is>
          <t>전의면</t>
        </is>
      </c>
    </row>
    <row r="11621">
      <c r="A11621" s="3" t="n">
        <v>2022</v>
      </c>
      <c r="B11621" s="4" t="n">
        <v>5467</v>
      </c>
      <c r="C11621" s="4" t="n">
        <v>1653</v>
      </c>
      <c r="D11621" s="4" t="n">
        <v>500.0325</v>
      </c>
      <c r="E11621" s="5" t="n">
        <v>10.9</v>
      </c>
      <c r="F11621" s="3" t="inlineStr">
        <is>
          <t>전의면</t>
        </is>
      </c>
      <c r="G11621" s="3" t="inlineStr">
        <is>
          <t>신정리</t>
        </is>
      </c>
      <c r="H11621" s="3" t="inlineStr">
        <is>
          <t>농림지역</t>
        </is>
      </c>
      <c r="I11621" s="3" t="inlineStr">
        <is>
          <t>임야</t>
        </is>
      </c>
      <c r="J11621" s="3" t="inlineStr">
        <is>
          <t>전의면</t>
        </is>
      </c>
    </row>
    <row r="11622">
      <c r="A11622" s="3" t="n">
        <v>2023</v>
      </c>
      <c r="B11622" s="4" t="n">
        <v>19000</v>
      </c>
      <c r="C11622" s="4" t="n">
        <v>225</v>
      </c>
      <c r="D11622" s="4" t="n">
        <v>68.0625</v>
      </c>
      <c r="E11622" s="5" t="n">
        <v>279.2</v>
      </c>
      <c r="F11622" s="3" t="inlineStr">
        <is>
          <t>금남면</t>
        </is>
      </c>
      <c r="G11622" s="3" t="inlineStr">
        <is>
          <t>남곡리</t>
        </is>
      </c>
      <c r="H11622" s="3" t="inlineStr">
        <is>
          <t>제1종일반주거지역</t>
        </is>
      </c>
      <c r="I11622" s="3" t="inlineStr">
        <is>
          <t>전</t>
        </is>
      </c>
      <c r="J11622" s="3" t="inlineStr">
        <is>
          <t>금남면</t>
        </is>
      </c>
    </row>
    <row r="11623">
      <c r="A11623" s="3" t="n">
        <v>2023</v>
      </c>
      <c r="B11623" s="4" t="n">
        <v>62000</v>
      </c>
      <c r="C11623" s="4" t="n">
        <v>1375</v>
      </c>
      <c r="D11623" s="4" t="n">
        <v>415.9375</v>
      </c>
      <c r="E11623" s="5" t="n">
        <v>149.1</v>
      </c>
      <c r="F11623" s="3" t="inlineStr">
        <is>
          <t>연기면</t>
        </is>
      </c>
      <c r="G11623" s="3" t="inlineStr">
        <is>
          <t>눌왕리</t>
        </is>
      </c>
      <c r="H11623" s="3" t="inlineStr">
        <is>
          <t>농림지역</t>
        </is>
      </c>
      <c r="I11623" s="3" t="inlineStr">
        <is>
          <t>답</t>
        </is>
      </c>
      <c r="J11623" s="3" t="inlineStr">
        <is>
          <t>연기면</t>
        </is>
      </c>
    </row>
    <row r="11624">
      <c r="A11624" s="3" t="n">
        <v>2023</v>
      </c>
      <c r="B11624" s="4" t="n">
        <v>22740</v>
      </c>
      <c r="C11624" s="4" t="n">
        <v>500</v>
      </c>
      <c r="D11624" s="4" t="n">
        <v>151.25</v>
      </c>
      <c r="E11624" s="5" t="n">
        <v>150.3</v>
      </c>
      <c r="F11624" s="3" t="inlineStr">
        <is>
          <t>전의면</t>
        </is>
      </c>
      <c r="G11624" s="3" t="inlineStr">
        <is>
          <t>서정리</t>
        </is>
      </c>
      <c r="H11624" s="3" t="inlineStr">
        <is>
          <t>계획관리지역</t>
        </is>
      </c>
      <c r="I11624" s="3" t="inlineStr">
        <is>
          <t>대</t>
        </is>
      </c>
      <c r="J11624" s="3" t="inlineStr">
        <is>
          <t>전의면</t>
        </is>
      </c>
    </row>
    <row r="11625">
      <c r="A11625" s="3" t="n">
        <v>2023</v>
      </c>
      <c r="B11625" s="4" t="n">
        <v>22600</v>
      </c>
      <c r="C11625" s="4" t="n">
        <v>1848</v>
      </c>
      <c r="D11625" s="4" t="n">
        <v>559.02</v>
      </c>
      <c r="E11625" s="5" t="n">
        <v>40.4</v>
      </c>
      <c r="F11625" s="3" t="inlineStr">
        <is>
          <t>부강면</t>
        </is>
      </c>
      <c r="G11625" s="3" t="inlineStr">
        <is>
          <t>문곡리</t>
        </is>
      </c>
      <c r="H11625" s="3" t="inlineStr">
        <is>
          <t>계획관리지역</t>
        </is>
      </c>
      <c r="I11625" s="3" t="inlineStr">
        <is>
          <t>전</t>
        </is>
      </c>
      <c r="J11625" s="3" t="inlineStr">
        <is>
          <t>부강면</t>
        </is>
      </c>
    </row>
    <row r="11626">
      <c r="A11626" s="3" t="n">
        <v>2023</v>
      </c>
      <c r="B11626" s="4" t="n">
        <v>17000</v>
      </c>
      <c r="C11626" s="4" t="n">
        <v>6565</v>
      </c>
      <c r="D11626" s="4" t="n">
        <v>1985.9125</v>
      </c>
      <c r="E11626" s="5" t="n">
        <v>8.6</v>
      </c>
      <c r="F11626" s="3" t="inlineStr">
        <is>
          <t>전동면</t>
        </is>
      </c>
      <c r="G11626" s="3" t="inlineStr">
        <is>
          <t>청람리</t>
        </is>
      </c>
      <c r="H11626" s="3" t="inlineStr">
        <is>
          <t>농림지역</t>
        </is>
      </c>
      <c r="I11626" s="3" t="inlineStr">
        <is>
          <t>임야</t>
        </is>
      </c>
      <c r="J11626" s="3" t="inlineStr">
        <is>
          <t>전동면</t>
        </is>
      </c>
    </row>
    <row r="11627">
      <c r="A11627" s="3" t="n">
        <v>2023</v>
      </c>
      <c r="B11627" s="4" t="n">
        <v>13000</v>
      </c>
      <c r="C11627" s="4" t="n">
        <v>7195</v>
      </c>
      <c r="D11627" s="4" t="n">
        <v>2176.4875</v>
      </c>
      <c r="E11627" s="5" t="n">
        <v>6</v>
      </c>
      <c r="F11627" s="3" t="inlineStr">
        <is>
          <t>전동면</t>
        </is>
      </c>
      <c r="G11627" s="3" t="inlineStr">
        <is>
          <t>청람리</t>
        </is>
      </c>
      <c r="H11627" s="3" t="inlineStr">
        <is>
          <t>농림지역</t>
        </is>
      </c>
      <c r="I11627" s="3" t="inlineStr">
        <is>
          <t>임야</t>
        </is>
      </c>
      <c r="J11627" s="3" t="inlineStr">
        <is>
          <t>전동면</t>
        </is>
      </c>
    </row>
    <row r="11628">
      <c r="A11628" s="3" t="n">
        <v>2023</v>
      </c>
      <c r="B11628" s="4" t="n">
        <v>4500</v>
      </c>
      <c r="C11628" s="4" t="n">
        <v>177</v>
      </c>
      <c r="D11628" s="4" t="n">
        <v>53.5425</v>
      </c>
      <c r="E11628" s="5" t="n">
        <v>84</v>
      </c>
      <c r="F11628" s="3" t="inlineStr">
        <is>
          <t>전의면</t>
        </is>
      </c>
      <c r="G11628" s="3" t="inlineStr">
        <is>
          <t>신방리</t>
        </is>
      </c>
      <c r="H11628" s="3" t="inlineStr">
        <is>
          <t>계획관리지역</t>
        </is>
      </c>
      <c r="I11628" s="3" t="inlineStr">
        <is>
          <t>대</t>
        </is>
      </c>
      <c r="J11628" s="3" t="inlineStr">
        <is>
          <t>전의면</t>
        </is>
      </c>
    </row>
    <row r="11629">
      <c r="A11629" s="3" t="n">
        <v>2023</v>
      </c>
      <c r="B11629" s="4" t="n">
        <v>85500</v>
      </c>
      <c r="C11629" s="4" t="n">
        <v>2997</v>
      </c>
      <c r="D11629" s="4" t="n">
        <v>906.5925</v>
      </c>
      <c r="E11629" s="5" t="n">
        <v>94.3</v>
      </c>
      <c r="F11629" s="3" t="inlineStr">
        <is>
          <t>연서면</t>
        </is>
      </c>
      <c r="G11629" s="3" t="inlineStr">
        <is>
          <t>신대리</t>
        </is>
      </c>
      <c r="H11629" s="3" t="inlineStr">
        <is>
          <t>농림지역</t>
        </is>
      </c>
      <c r="I11629" s="3" t="inlineStr">
        <is>
          <t>답</t>
        </is>
      </c>
      <c r="J11629" s="3" t="inlineStr">
        <is>
          <t>연서면</t>
        </is>
      </c>
    </row>
    <row r="11630">
      <c r="A11630" s="3" t="n">
        <v>2023</v>
      </c>
      <c r="B11630" s="4" t="n">
        <v>20000</v>
      </c>
      <c r="C11630" s="4" t="n">
        <v>410</v>
      </c>
      <c r="D11630" s="4" t="n">
        <v>124.025</v>
      </c>
      <c r="E11630" s="5" t="n">
        <v>161.3</v>
      </c>
      <c r="F11630" s="3" t="inlineStr">
        <is>
          <t>금남면</t>
        </is>
      </c>
      <c r="G11630" s="3" t="inlineStr">
        <is>
          <t>호탄리</t>
        </is>
      </c>
      <c r="H11630" s="3" t="inlineStr">
        <is>
          <t>제1종일반주거지역</t>
        </is>
      </c>
      <c r="I11630" s="3" t="inlineStr">
        <is>
          <t>전</t>
        </is>
      </c>
      <c r="J11630" s="3" t="inlineStr">
        <is>
          <t>금남면</t>
        </is>
      </c>
    </row>
    <row r="11631">
      <c r="A11631" s="3" t="n">
        <v>2023</v>
      </c>
      <c r="B11631" s="4" t="n">
        <v>30000</v>
      </c>
      <c r="C11631" s="4" t="n">
        <v>450</v>
      </c>
      <c r="D11631" s="4" t="n">
        <v>136.125</v>
      </c>
      <c r="E11631" s="5" t="n">
        <v>220.4</v>
      </c>
      <c r="F11631" s="3" t="inlineStr">
        <is>
          <t>금남면</t>
        </is>
      </c>
      <c r="G11631" s="3" t="inlineStr">
        <is>
          <t>호탄리</t>
        </is>
      </c>
      <c r="H11631" s="3" t="inlineStr">
        <is>
          <t>제1종일반주거지역</t>
        </is>
      </c>
      <c r="I11631" s="3" t="inlineStr">
        <is>
          <t>대</t>
        </is>
      </c>
      <c r="J11631" s="3" t="inlineStr">
        <is>
          <t>금남면</t>
        </is>
      </c>
    </row>
    <row r="11632">
      <c r="A11632" s="3" t="n">
        <v>2023</v>
      </c>
      <c r="B11632" s="4" t="n">
        <v>6000</v>
      </c>
      <c r="C11632" s="4" t="n">
        <v>486</v>
      </c>
      <c r="D11632" s="4" t="n">
        <v>147.015</v>
      </c>
      <c r="E11632" s="5" t="n">
        <v>40.8</v>
      </c>
      <c r="F11632" s="3" t="inlineStr">
        <is>
          <t>장군면</t>
        </is>
      </c>
      <c r="G11632" s="3" t="inlineStr">
        <is>
          <t>송학리</t>
        </is>
      </c>
      <c r="H11632" s="3" t="inlineStr">
        <is>
          <t>계획관리지역</t>
        </is>
      </c>
      <c r="I11632" s="3" t="inlineStr">
        <is>
          <t>전</t>
        </is>
      </c>
      <c r="J11632" s="3" t="inlineStr">
        <is>
          <t>장군면</t>
        </is>
      </c>
    </row>
    <row r="11633">
      <c r="A11633" s="3" t="n">
        <v>2023</v>
      </c>
      <c r="B11633" s="4" t="n">
        <v>21424</v>
      </c>
      <c r="C11633" s="4" t="n">
        <v>337</v>
      </c>
      <c r="D11633" s="4" t="n">
        <v>101.9425</v>
      </c>
      <c r="E11633" s="5" t="n">
        <v>210.2</v>
      </c>
      <c r="F11633" s="3" t="inlineStr">
        <is>
          <t>장군면</t>
        </is>
      </c>
      <c r="G11633" s="3" t="inlineStr">
        <is>
          <t>대교리</t>
        </is>
      </c>
      <c r="H11633" s="3" t="inlineStr">
        <is>
          <t>보전관리지역</t>
        </is>
      </c>
      <c r="I11633" s="3" t="inlineStr">
        <is>
          <t>대</t>
        </is>
      </c>
      <c r="J11633" s="3" t="inlineStr">
        <is>
          <t>장군면</t>
        </is>
      </c>
    </row>
    <row r="11634">
      <c r="A11634" s="3" t="n">
        <v>2023</v>
      </c>
      <c r="B11634" s="4" t="n">
        <v>34583</v>
      </c>
      <c r="C11634" s="4" t="n">
        <v>544</v>
      </c>
      <c r="D11634" s="4" t="n">
        <v>164.56</v>
      </c>
      <c r="E11634" s="5" t="n">
        <v>210.2</v>
      </c>
      <c r="F11634" s="3" t="inlineStr">
        <is>
          <t>장군면</t>
        </is>
      </c>
      <c r="G11634" s="3" t="inlineStr">
        <is>
          <t>대교리</t>
        </is>
      </c>
      <c r="H11634" s="3" t="inlineStr">
        <is>
          <t>보전관리지역</t>
        </is>
      </c>
      <c r="I11634" s="3" t="inlineStr">
        <is>
          <t>대</t>
        </is>
      </c>
      <c r="J11634" s="3" t="inlineStr">
        <is>
          <t>장군면</t>
        </is>
      </c>
    </row>
    <row r="11635">
      <c r="A11635" s="3" t="n">
        <v>2023</v>
      </c>
      <c r="B11635" s="4" t="n">
        <v>9536</v>
      </c>
      <c r="C11635" s="4" t="n">
        <v>150</v>
      </c>
      <c r="D11635" s="4" t="n">
        <v>45.375</v>
      </c>
      <c r="E11635" s="5" t="n">
        <v>210.2</v>
      </c>
      <c r="F11635" s="3" t="inlineStr">
        <is>
          <t>장군면</t>
        </is>
      </c>
      <c r="G11635" s="3" t="inlineStr">
        <is>
          <t>대교리</t>
        </is>
      </c>
      <c r="H11635" s="3" t="inlineStr">
        <is>
          <t>보전관리지역</t>
        </is>
      </c>
      <c r="I11635" s="3" t="inlineStr">
        <is>
          <t>대</t>
        </is>
      </c>
      <c r="J11635" s="3" t="inlineStr">
        <is>
          <t>장군면</t>
        </is>
      </c>
    </row>
    <row r="11636">
      <c r="A11636" s="3" t="n">
        <v>2023</v>
      </c>
      <c r="B11636" s="4" t="n">
        <v>38009</v>
      </c>
      <c r="C11636" s="4" t="n">
        <v>660</v>
      </c>
      <c r="D11636" s="4" t="n">
        <v>199.65</v>
      </c>
      <c r="E11636" s="5" t="n">
        <v>190.4</v>
      </c>
      <c r="F11636" s="3" t="inlineStr">
        <is>
          <t>장군면</t>
        </is>
      </c>
      <c r="G11636" s="3" t="inlineStr">
        <is>
          <t>대교리</t>
        </is>
      </c>
      <c r="H11636" s="3" t="inlineStr">
        <is>
          <t>보전관리지역</t>
        </is>
      </c>
      <c r="I11636" s="3" t="inlineStr">
        <is>
          <t>대</t>
        </is>
      </c>
      <c r="J11636" s="3" t="inlineStr">
        <is>
          <t>장군면</t>
        </is>
      </c>
    </row>
    <row r="11637">
      <c r="A11637" s="3" t="n">
        <v>2023</v>
      </c>
      <c r="B11637" s="4" t="n">
        <v>46428</v>
      </c>
      <c r="C11637" s="4" t="n">
        <v>667</v>
      </c>
      <c r="D11637" s="4" t="n">
        <v>201.7675</v>
      </c>
      <c r="E11637" s="5" t="n">
        <v>230.1</v>
      </c>
      <c r="F11637" s="3" t="inlineStr">
        <is>
          <t>장군면</t>
        </is>
      </c>
      <c r="G11637" s="3" t="inlineStr">
        <is>
          <t>대교리</t>
        </is>
      </c>
      <c r="H11637" s="3" t="inlineStr">
        <is>
          <t>보전관리지역</t>
        </is>
      </c>
      <c r="I11637" s="3" t="inlineStr">
        <is>
          <t>대</t>
        </is>
      </c>
      <c r="J11637" s="3" t="inlineStr">
        <is>
          <t>장군면</t>
        </is>
      </c>
    </row>
    <row r="11638">
      <c r="A11638" s="3" t="n">
        <v>2026</v>
      </c>
      <c r="B11638" s="4" t="n">
        <v>200</v>
      </c>
      <c r="C11638" s="4" t="n">
        <v>88</v>
      </c>
      <c r="D11638" s="4" t="n">
        <v>26.62</v>
      </c>
      <c r="E11638" s="5" t="n">
        <v>7.5</v>
      </c>
      <c r="F11638" s="3" t="inlineStr">
        <is>
          <t>유구읍</t>
        </is>
      </c>
      <c r="G11638" s="3" t="inlineStr">
        <is>
          <t>녹천리</t>
        </is>
      </c>
      <c r="H11638" s="3" t="inlineStr">
        <is>
          <t>계획관리지역</t>
        </is>
      </c>
      <c r="I11638" s="3" t="inlineStr">
        <is>
          <t>전</t>
        </is>
      </c>
      <c r="J11638" s="3" t="inlineStr">
        <is>
          <t>유구읍</t>
        </is>
      </c>
    </row>
    <row r="11639">
      <c r="A11639" s="3" t="n">
        <v>2026</v>
      </c>
      <c r="B11639" s="4" t="n">
        <v>3800</v>
      </c>
      <c r="C11639" s="4" t="n">
        <v>174</v>
      </c>
      <c r="D11639" s="4" t="n">
        <v>52.635</v>
      </c>
      <c r="E11639" s="5" t="n">
        <v>72.2</v>
      </c>
      <c r="F11639" s="3" t="inlineStr">
        <is>
          <t>유구읍</t>
        </is>
      </c>
      <c r="G11639" s="3" t="inlineStr">
        <is>
          <t>연종리</t>
        </is>
      </c>
      <c r="H11639" s="3" t="inlineStr">
        <is>
          <t>생산관리지역</t>
        </is>
      </c>
      <c r="I11639" s="3" t="inlineStr">
        <is>
          <t>대</t>
        </is>
      </c>
      <c r="J11639" s="3" t="inlineStr">
        <is>
          <t>유구읍</t>
        </is>
      </c>
    </row>
    <row r="11640">
      <c r="A11640" s="3" t="n">
        <v>2026</v>
      </c>
      <c r="B11640" s="4" t="n">
        <v>1400</v>
      </c>
      <c r="C11640" s="4" t="n">
        <v>61</v>
      </c>
      <c r="D11640" s="4" t="n">
        <v>18.4525</v>
      </c>
      <c r="E11640" s="5" t="n">
        <v>75.90000000000001</v>
      </c>
      <c r="F11640" s="3" t="inlineStr">
        <is>
          <t>유구읍</t>
        </is>
      </c>
      <c r="G11640" s="3" t="inlineStr">
        <is>
          <t>연종리</t>
        </is>
      </c>
      <c r="H11640" s="3" t="inlineStr">
        <is>
          <t>생산관리지역</t>
        </is>
      </c>
      <c r="I11640" s="3" t="inlineStr">
        <is>
          <t>대</t>
        </is>
      </c>
      <c r="J11640" s="3" t="inlineStr">
        <is>
          <t>유구읍</t>
        </is>
      </c>
    </row>
    <row r="11641">
      <c r="A11641" s="3" t="n">
        <v>2026</v>
      </c>
      <c r="B11641" s="4" t="n">
        <v>2150</v>
      </c>
      <c r="C11641" s="4" t="n">
        <v>206</v>
      </c>
      <c r="D11641" s="4" t="n">
        <v>62.315</v>
      </c>
      <c r="E11641" s="5" t="n">
        <v>34.5</v>
      </c>
      <c r="F11641" s="3" t="inlineStr">
        <is>
          <t>유구읍</t>
        </is>
      </c>
      <c r="G11641" s="3" t="inlineStr">
        <is>
          <t>연종리</t>
        </is>
      </c>
      <c r="H11641" s="3" t="inlineStr">
        <is>
          <t>생산관리지역</t>
        </is>
      </c>
      <c r="I11641" s="3" t="inlineStr">
        <is>
          <t>전</t>
        </is>
      </c>
      <c r="J11641" s="3" t="inlineStr">
        <is>
          <t>유구읍</t>
        </is>
      </c>
    </row>
    <row r="11642">
      <c r="A11642" s="3" t="n">
        <v>2026</v>
      </c>
      <c r="B11642" s="4" t="n">
        <v>8150</v>
      </c>
      <c r="C11642" s="4" t="n">
        <v>608</v>
      </c>
      <c r="D11642" s="4" t="n">
        <v>183.92</v>
      </c>
      <c r="E11642" s="5" t="n">
        <v>44.3</v>
      </c>
      <c r="F11642" s="3" t="inlineStr">
        <is>
          <t>유구읍</t>
        </is>
      </c>
      <c r="G11642" s="3" t="inlineStr">
        <is>
          <t>연종리</t>
        </is>
      </c>
      <c r="H11642" s="3" t="inlineStr">
        <is>
          <t>생산관리지역</t>
        </is>
      </c>
      <c r="I11642" s="3" t="inlineStr">
        <is>
          <t>답</t>
        </is>
      </c>
      <c r="J11642" s="3" t="inlineStr">
        <is>
          <t>유구읍</t>
        </is>
      </c>
    </row>
    <row r="11643">
      <c r="A11643" s="3" t="n">
        <v>2026</v>
      </c>
      <c r="B11643" s="4" t="n">
        <v>6841</v>
      </c>
      <c r="C11643" s="4" t="n">
        <v>754</v>
      </c>
      <c r="D11643" s="4" t="n">
        <v>228.085</v>
      </c>
      <c r="E11643" s="5" t="n">
        <v>30</v>
      </c>
      <c r="F11643" s="3" t="inlineStr">
        <is>
          <t>전의면</t>
        </is>
      </c>
      <c r="G11643" s="3" t="inlineStr">
        <is>
          <t>유천리</t>
        </is>
      </c>
      <c r="H11643" s="3" t="inlineStr">
        <is>
          <t>계획관리지역</t>
        </is>
      </c>
      <c r="I11643" s="3" t="inlineStr">
        <is>
          <t>전</t>
        </is>
      </c>
      <c r="J11643" s="3" t="inlineStr">
        <is>
          <t>전의면</t>
        </is>
      </c>
    </row>
    <row r="11644">
      <c r="A11644" s="3" t="n">
        <v>2026</v>
      </c>
      <c r="B11644" s="4" t="n">
        <v>40000</v>
      </c>
      <c r="C11644" s="4" t="n">
        <v>277</v>
      </c>
      <c r="D11644" s="4" t="n">
        <v>83.7925</v>
      </c>
      <c r="E11644" s="5" t="n">
        <v>477.4</v>
      </c>
      <c r="F11644" s="3" t="inlineStr">
        <is>
          <t>집현동</t>
        </is>
      </c>
      <c r="G11644" s="3" t="inlineStr"/>
      <c r="H11644" s="3" t="inlineStr">
        <is>
          <t>제1종전용주거지역</t>
        </is>
      </c>
      <c r="I11644" s="3" t="inlineStr">
        <is>
          <t>대</t>
        </is>
      </c>
      <c r="J11644" s="3" t="inlineStr">
        <is>
          <t>집현동</t>
        </is>
      </c>
    </row>
    <row r="11645">
      <c r="A11645" s="3" t="n">
        <v>2026</v>
      </c>
      <c r="B11645" s="4" t="n">
        <v>31255</v>
      </c>
      <c r="C11645" s="4" t="n">
        <v>3230</v>
      </c>
      <c r="D11645" s="4" t="n">
        <v>977.0749999999999</v>
      </c>
      <c r="E11645" s="5" t="n">
        <v>32</v>
      </c>
      <c r="F11645" s="3" t="inlineStr">
        <is>
          <t>전의면</t>
        </is>
      </c>
      <c r="G11645" s="3" t="inlineStr">
        <is>
          <t>원성리</t>
        </is>
      </c>
      <c r="H11645" s="3" t="inlineStr">
        <is>
          <t>보전관리지역</t>
        </is>
      </c>
      <c r="I11645" s="3" t="inlineStr">
        <is>
          <t>답</t>
        </is>
      </c>
      <c r="J11645" s="3" t="inlineStr">
        <is>
          <t>전의면</t>
        </is>
      </c>
    </row>
    <row r="11646">
      <c r="A11646" s="3" t="n">
        <v>2026</v>
      </c>
      <c r="B11646" s="4" t="n">
        <v>1345</v>
      </c>
      <c r="C11646" s="4" t="n">
        <v>139</v>
      </c>
      <c r="D11646" s="4" t="n">
        <v>42.0475</v>
      </c>
      <c r="E11646" s="5" t="n">
        <v>32</v>
      </c>
      <c r="F11646" s="3" t="inlineStr">
        <is>
          <t>전의면</t>
        </is>
      </c>
      <c r="G11646" s="3" t="inlineStr">
        <is>
          <t>원성리</t>
        </is>
      </c>
      <c r="H11646" s="3" t="inlineStr">
        <is>
          <t>보전관리지역</t>
        </is>
      </c>
      <c r="I11646" s="3" t="inlineStr">
        <is>
          <t>답</t>
        </is>
      </c>
      <c r="J11646" s="3" t="inlineStr">
        <is>
          <t>전의면</t>
        </is>
      </c>
    </row>
    <row r="11647">
      <c r="A11647" s="3" t="n">
        <v>2026</v>
      </c>
      <c r="B11647" s="4" t="n">
        <v>1000</v>
      </c>
      <c r="C11647" s="4" t="n">
        <v>64</v>
      </c>
      <c r="D11647" s="4" t="n">
        <v>19.36</v>
      </c>
      <c r="E11647" s="5" t="n">
        <v>51.7</v>
      </c>
      <c r="F11647" s="3" t="inlineStr">
        <is>
          <t>소정면</t>
        </is>
      </c>
      <c r="G11647" s="3" t="inlineStr">
        <is>
          <t>대곡리</t>
        </is>
      </c>
      <c r="H11647" s="3" t="inlineStr">
        <is>
          <t>계획관리지역</t>
        </is>
      </c>
      <c r="I11647" s="3" t="inlineStr">
        <is>
          <t>도로</t>
        </is>
      </c>
      <c r="J11647" s="3" t="inlineStr">
        <is>
          <t>소정면</t>
        </is>
      </c>
    </row>
    <row r="11648">
      <c r="A11648" s="3" t="n">
        <v>2026</v>
      </c>
      <c r="B11648" s="4" t="n">
        <v>16200</v>
      </c>
      <c r="C11648" s="4" t="n">
        <v>1785</v>
      </c>
      <c r="D11648" s="4" t="n">
        <v>539.9625</v>
      </c>
      <c r="E11648" s="5" t="n">
        <v>30</v>
      </c>
      <c r="F11648" s="3" t="inlineStr">
        <is>
          <t>전동면</t>
        </is>
      </c>
      <c r="G11648" s="3" t="inlineStr">
        <is>
          <t>봉대리</t>
        </is>
      </c>
      <c r="H11648" s="3" t="inlineStr">
        <is>
          <t>생산관리지역</t>
        </is>
      </c>
      <c r="I11648" s="3" t="inlineStr">
        <is>
          <t>답</t>
        </is>
      </c>
      <c r="J11648" s="3" t="inlineStr">
        <is>
          <t>전동면</t>
        </is>
      </c>
    </row>
    <row r="11649">
      <c r="A11649" s="3" t="n">
        <v>2026</v>
      </c>
      <c r="B11649" s="4" t="n">
        <v>25440</v>
      </c>
      <c r="C11649" s="4" t="n">
        <v>2403</v>
      </c>
      <c r="D11649" s="4" t="n">
        <v>726.9075</v>
      </c>
      <c r="E11649" s="5" t="n">
        <v>35</v>
      </c>
      <c r="F11649" s="3" t="inlineStr">
        <is>
          <t>전동면</t>
        </is>
      </c>
      <c r="G11649" s="3" t="inlineStr">
        <is>
          <t>봉대리</t>
        </is>
      </c>
      <c r="H11649" s="3" t="inlineStr">
        <is>
          <t>생산관리지역</t>
        </is>
      </c>
      <c r="I11649" s="3" t="inlineStr">
        <is>
          <t>답</t>
        </is>
      </c>
      <c r="J11649" s="3" t="inlineStr">
        <is>
          <t>전동면</t>
        </is>
      </c>
    </row>
    <row r="11650">
      <c r="A11650" s="3" t="n">
        <v>2026</v>
      </c>
      <c r="B11650" s="4" t="n">
        <v>9000</v>
      </c>
      <c r="C11650" s="4" t="n">
        <v>850</v>
      </c>
      <c r="D11650" s="4" t="n">
        <v>257.125</v>
      </c>
      <c r="E11650" s="5" t="n">
        <v>35</v>
      </c>
      <c r="F11650" s="3" t="inlineStr">
        <is>
          <t>전동면</t>
        </is>
      </c>
      <c r="G11650" s="3" t="inlineStr">
        <is>
          <t>봉대리</t>
        </is>
      </c>
      <c r="H11650" s="3" t="inlineStr">
        <is>
          <t>생산관리지역</t>
        </is>
      </c>
      <c r="I11650" s="3" t="inlineStr">
        <is>
          <t>답</t>
        </is>
      </c>
      <c r="J11650" s="3" t="inlineStr">
        <is>
          <t>전동면</t>
        </is>
      </c>
    </row>
    <row r="11651">
      <c r="A11651" s="3" t="n">
        <v>2026</v>
      </c>
      <c r="B11651" s="4" t="n">
        <v>11430</v>
      </c>
      <c r="C11651" s="4" t="n">
        <v>1260</v>
      </c>
      <c r="D11651" s="4" t="n">
        <v>381.15</v>
      </c>
      <c r="E11651" s="5" t="n">
        <v>30</v>
      </c>
      <c r="F11651" s="3" t="inlineStr">
        <is>
          <t>전동면</t>
        </is>
      </c>
      <c r="G11651" s="3" t="inlineStr">
        <is>
          <t>봉대리</t>
        </is>
      </c>
      <c r="H11651" s="3" t="inlineStr">
        <is>
          <t>생산관리지역</t>
        </is>
      </c>
      <c r="I11651" s="3" t="inlineStr">
        <is>
          <t>답</t>
        </is>
      </c>
      <c r="J11651" s="3" t="inlineStr">
        <is>
          <t>전동면</t>
        </is>
      </c>
    </row>
    <row r="11652">
      <c r="A11652" s="3" t="n">
        <v>2026</v>
      </c>
      <c r="B11652" s="4" t="n">
        <v>4450</v>
      </c>
      <c r="C11652" s="4" t="n">
        <v>588</v>
      </c>
      <c r="D11652" s="4" t="n">
        <v>177.87</v>
      </c>
      <c r="E11652" s="5" t="n">
        <v>25</v>
      </c>
      <c r="F11652" s="3" t="inlineStr">
        <is>
          <t>전동면</t>
        </is>
      </c>
      <c r="G11652" s="3" t="inlineStr">
        <is>
          <t>봉대리</t>
        </is>
      </c>
      <c r="H11652" s="3" t="inlineStr">
        <is>
          <t>생산관리지역</t>
        </is>
      </c>
      <c r="I11652" s="3" t="inlineStr">
        <is>
          <t>답</t>
        </is>
      </c>
      <c r="J11652" s="3" t="inlineStr">
        <is>
          <t>전동면</t>
        </is>
      </c>
    </row>
    <row r="11653">
      <c r="A11653" s="3" t="n">
        <v>2026</v>
      </c>
      <c r="B11653" s="4" t="n">
        <v>70000</v>
      </c>
      <c r="C11653" s="4" t="n">
        <v>461</v>
      </c>
      <c r="D11653" s="4" t="n">
        <v>139.4525</v>
      </c>
      <c r="E11653" s="5" t="n">
        <v>502</v>
      </c>
      <c r="F11653" s="3" t="inlineStr">
        <is>
          <t>연기면</t>
        </is>
      </c>
      <c r="G11653" s="3" t="inlineStr">
        <is>
          <t>보통리</t>
        </is>
      </c>
      <c r="H11653" s="3" t="inlineStr">
        <is>
          <t>계획관리지역</t>
        </is>
      </c>
      <c r="I11653" s="3" t="inlineStr">
        <is>
          <t>답</t>
        </is>
      </c>
      <c r="J11653" s="3" t="inlineStr">
        <is>
          <t>연기면</t>
        </is>
      </c>
    </row>
    <row r="11654">
      <c r="A11654" s="3" t="n">
        <v>2026</v>
      </c>
      <c r="B11654" s="4" t="n">
        <v>77500</v>
      </c>
      <c r="C11654" s="4" t="n">
        <v>514</v>
      </c>
      <c r="D11654" s="4" t="n">
        <v>155.485</v>
      </c>
      <c r="E11654" s="5" t="n">
        <v>498.4</v>
      </c>
      <c r="F11654" s="3" t="inlineStr">
        <is>
          <t>연기면</t>
        </is>
      </c>
      <c r="G11654" s="3" t="inlineStr">
        <is>
          <t>보통리</t>
        </is>
      </c>
      <c r="H11654" s="3" t="inlineStr">
        <is>
          <t>계획관리지역</t>
        </is>
      </c>
      <c r="I11654" s="3" t="inlineStr">
        <is>
          <t>답</t>
        </is>
      </c>
      <c r="J11654" s="3" t="inlineStr">
        <is>
          <t>연기면</t>
        </is>
      </c>
    </row>
    <row r="11655">
      <c r="A11655" s="3" t="n">
        <v>2026</v>
      </c>
      <c r="B11655" s="4" t="n">
        <v>706</v>
      </c>
      <c r="C11655" s="4" t="n">
        <v>49</v>
      </c>
      <c r="D11655" s="4" t="n">
        <v>14.8225</v>
      </c>
      <c r="E11655" s="5" t="n">
        <v>47.6</v>
      </c>
      <c r="F11655" s="3" t="inlineStr">
        <is>
          <t>장군면</t>
        </is>
      </c>
      <c r="G11655" s="3" t="inlineStr">
        <is>
          <t>도계리</t>
        </is>
      </c>
      <c r="H11655" s="3" t="inlineStr">
        <is>
          <t>계획관리지역</t>
        </is>
      </c>
      <c r="I11655" s="3" t="inlineStr">
        <is>
          <t>도로</t>
        </is>
      </c>
      <c r="J11655" s="3" t="inlineStr">
        <is>
          <t>장군면</t>
        </is>
      </c>
    </row>
    <row r="11656">
      <c r="A11656" s="3" t="n">
        <v>2026</v>
      </c>
      <c r="B11656" s="4" t="n">
        <v>1080</v>
      </c>
      <c r="C11656" s="4" t="n">
        <v>20</v>
      </c>
      <c r="D11656" s="4" t="n">
        <v>6.05</v>
      </c>
      <c r="E11656" s="5" t="n">
        <v>178.5</v>
      </c>
      <c r="F11656" s="3" t="inlineStr">
        <is>
          <t>장군면</t>
        </is>
      </c>
      <c r="G11656" s="3" t="inlineStr">
        <is>
          <t>도계리</t>
        </is>
      </c>
      <c r="H11656" s="3" t="inlineStr">
        <is>
          <t>계획관리지역</t>
        </is>
      </c>
      <c r="I11656" s="3" t="inlineStr">
        <is>
          <t>전</t>
        </is>
      </c>
      <c r="J11656" s="3" t="inlineStr">
        <is>
          <t>장군면</t>
        </is>
      </c>
    </row>
    <row r="11657">
      <c r="A11657" s="3" t="n">
        <v>2026</v>
      </c>
      <c r="B11657" s="4" t="n">
        <v>5000</v>
      </c>
      <c r="C11657" s="4" t="n">
        <v>218</v>
      </c>
      <c r="D11657" s="4" t="n">
        <v>65.94499999999999</v>
      </c>
      <c r="E11657" s="5" t="n">
        <v>75.8</v>
      </c>
      <c r="F11657" s="3" t="inlineStr">
        <is>
          <t>소정면</t>
        </is>
      </c>
      <c r="G11657" s="3" t="inlineStr">
        <is>
          <t>고등리</t>
        </is>
      </c>
      <c r="H11657" s="3" t="inlineStr">
        <is>
          <t>계획관리지역</t>
        </is>
      </c>
      <c r="I11657" s="3" t="inlineStr">
        <is>
          <t>대</t>
        </is>
      </c>
      <c r="J11657" s="3" t="inlineStr">
        <is>
          <t>소정면</t>
        </is>
      </c>
    </row>
    <row r="11658">
      <c r="A11658" s="3" t="n">
        <v>2026</v>
      </c>
      <c r="B11658" s="4" t="n">
        <v>10000</v>
      </c>
      <c r="C11658" s="4" t="n">
        <v>9917</v>
      </c>
      <c r="D11658" s="4" t="n">
        <v>2999.8925</v>
      </c>
      <c r="E11658" s="5" t="n">
        <v>3.3</v>
      </c>
      <c r="F11658" s="3" t="inlineStr">
        <is>
          <t>소정면</t>
        </is>
      </c>
      <c r="G11658" s="3" t="inlineStr">
        <is>
          <t>대곡리</t>
        </is>
      </c>
      <c r="H11658" s="3" t="inlineStr">
        <is>
          <t>농림지역</t>
        </is>
      </c>
      <c r="I11658" s="3" t="inlineStr">
        <is>
          <t>임야</t>
        </is>
      </c>
      <c r="J11658" s="3" t="inlineStr">
        <is>
          <t>소정면</t>
        </is>
      </c>
    </row>
    <row r="11659">
      <c r="A11659" s="3" t="n">
        <v>2026</v>
      </c>
      <c r="B11659" s="4" t="n">
        <v>65000</v>
      </c>
      <c r="C11659" s="4" t="n">
        <v>10847</v>
      </c>
      <c r="D11659" s="4" t="n">
        <v>3281.2175</v>
      </c>
      <c r="E11659" s="5" t="n">
        <v>19.8</v>
      </c>
      <c r="F11659" s="3" t="inlineStr">
        <is>
          <t>장군면</t>
        </is>
      </c>
      <c r="G11659" s="3" t="inlineStr">
        <is>
          <t>송정리</t>
        </is>
      </c>
      <c r="H11659" s="3" t="inlineStr">
        <is>
          <t>보전관리지역</t>
        </is>
      </c>
      <c r="I11659" s="3" t="inlineStr">
        <is>
          <t>임야</t>
        </is>
      </c>
      <c r="J11659" s="3" t="inlineStr">
        <is>
          <t>장군면</t>
        </is>
      </c>
    </row>
    <row r="11660">
      <c r="A11660" s="3" t="n">
        <v>2025</v>
      </c>
      <c r="B11660" s="4" t="n">
        <v>5748</v>
      </c>
      <c r="C11660" s="4" t="n">
        <v>19</v>
      </c>
      <c r="D11660" s="4" t="n">
        <v>5.7475</v>
      </c>
      <c r="E11660" s="5" t="n">
        <v>1000.1</v>
      </c>
      <c r="F11660" s="3" t="inlineStr">
        <is>
          <t>조치원읍</t>
        </is>
      </c>
      <c r="G11660" s="3" t="inlineStr">
        <is>
          <t>명리</t>
        </is>
      </c>
      <c r="H11660" s="3" t="inlineStr">
        <is>
          <t>일반상업지역</t>
        </is>
      </c>
      <c r="I11660" s="3" t="inlineStr">
        <is>
          <t>대</t>
        </is>
      </c>
      <c r="J11660" s="3" t="inlineStr">
        <is>
          <t>조치원읍</t>
        </is>
      </c>
    </row>
    <row r="11661">
      <c r="A11661" s="3" t="n">
        <v>2026</v>
      </c>
      <c r="B11661" s="4" t="n">
        <v>9300</v>
      </c>
      <c r="C11661" s="4" t="n">
        <v>500</v>
      </c>
      <c r="D11661" s="4" t="n">
        <v>151.25</v>
      </c>
      <c r="E11661" s="5" t="n">
        <v>61.5</v>
      </c>
      <c r="F11661" s="3" t="inlineStr">
        <is>
          <t>장군면</t>
        </is>
      </c>
      <c r="G11661" s="3" t="inlineStr">
        <is>
          <t>송정리</t>
        </is>
      </c>
      <c r="H11661" s="3" t="inlineStr">
        <is>
          <t>보전관리지역</t>
        </is>
      </c>
      <c r="I11661" s="3" t="inlineStr">
        <is>
          <t>임야</t>
        </is>
      </c>
      <c r="J11661" s="3" t="inlineStr">
        <is>
          <t>장군면</t>
        </is>
      </c>
    </row>
    <row r="11662">
      <c r="A11662" s="3" t="n">
        <v>2026</v>
      </c>
      <c r="B11662" s="4" t="n">
        <v>3777</v>
      </c>
      <c r="C11662" s="4" t="n">
        <v>21</v>
      </c>
      <c r="D11662" s="4" t="n">
        <v>6.3525</v>
      </c>
      <c r="E11662" s="5" t="n">
        <v>594.6</v>
      </c>
      <c r="F11662" s="3" t="inlineStr">
        <is>
          <t>금남면</t>
        </is>
      </c>
      <c r="G11662" s="3" t="inlineStr">
        <is>
          <t>용포리</t>
        </is>
      </c>
      <c r="H11662" s="3" t="inlineStr">
        <is>
          <t>제2종일반주거지역</t>
        </is>
      </c>
      <c r="I11662" s="3" t="inlineStr">
        <is>
          <t>대</t>
        </is>
      </c>
      <c r="J11662" s="3" t="inlineStr">
        <is>
          <t>금남면</t>
        </is>
      </c>
    </row>
    <row r="11663">
      <c r="A11663" s="3" t="n">
        <v>2026</v>
      </c>
      <c r="B11663" s="4" t="n">
        <v>646</v>
      </c>
      <c r="C11663" s="4" t="n">
        <v>4</v>
      </c>
      <c r="D11663" s="4" t="n">
        <v>1.21</v>
      </c>
      <c r="E11663" s="5" t="n">
        <v>533.9</v>
      </c>
      <c r="F11663" s="3" t="inlineStr">
        <is>
          <t>금남면</t>
        </is>
      </c>
      <c r="G11663" s="3" t="inlineStr">
        <is>
          <t>용포리</t>
        </is>
      </c>
      <c r="H11663" s="3" t="inlineStr">
        <is>
          <t>제1종일반주거지역</t>
        </is>
      </c>
      <c r="I11663" s="3" t="inlineStr">
        <is>
          <t>대</t>
        </is>
      </c>
      <c r="J11663" s="3" t="inlineStr">
        <is>
          <t>금남면</t>
        </is>
      </c>
    </row>
    <row r="11664">
      <c r="A11664" s="3" t="n">
        <v>2026</v>
      </c>
      <c r="B11664" s="4" t="n">
        <v>14562</v>
      </c>
      <c r="C11664" s="4" t="n">
        <v>192</v>
      </c>
      <c r="D11664" s="4" t="n">
        <v>58.08</v>
      </c>
      <c r="E11664" s="5" t="n">
        <v>250.7</v>
      </c>
      <c r="F11664" s="3" t="inlineStr">
        <is>
          <t>부강면</t>
        </is>
      </c>
      <c r="G11664" s="3" t="inlineStr">
        <is>
          <t>금호리</t>
        </is>
      </c>
      <c r="H11664" s="3" t="inlineStr">
        <is>
          <t>생산관리지역</t>
        </is>
      </c>
      <c r="I11664" s="3" t="inlineStr">
        <is>
          <t>공장용지</t>
        </is>
      </c>
      <c r="J11664" s="3" t="inlineStr">
        <is>
          <t>부강면</t>
        </is>
      </c>
    </row>
    <row r="11665">
      <c r="A11665" s="3" t="n">
        <v>2026</v>
      </c>
      <c r="B11665" s="4" t="n">
        <v>275</v>
      </c>
      <c r="C11665" s="4" t="n">
        <v>7</v>
      </c>
      <c r="D11665" s="4" t="n">
        <v>2.1175</v>
      </c>
      <c r="E11665" s="5" t="n">
        <v>129.9</v>
      </c>
      <c r="F11665" s="3" t="inlineStr">
        <is>
          <t>부강면</t>
        </is>
      </c>
      <c r="G11665" s="3" t="inlineStr">
        <is>
          <t>금호리</t>
        </is>
      </c>
      <c r="H11665" s="3" t="inlineStr">
        <is>
          <t>계획관리지역</t>
        </is>
      </c>
      <c r="I11665" s="3" t="inlineStr">
        <is>
          <t>도로</t>
        </is>
      </c>
      <c r="J11665" s="3" t="inlineStr">
        <is>
          <t>부강면</t>
        </is>
      </c>
    </row>
    <row r="11666">
      <c r="A11666" s="3" t="n">
        <v>2026</v>
      </c>
      <c r="B11666" s="4" t="n">
        <v>32500</v>
      </c>
      <c r="C11666" s="4" t="n">
        <v>2856</v>
      </c>
      <c r="D11666" s="4" t="n">
        <v>863.9399999999999</v>
      </c>
      <c r="E11666" s="5" t="n">
        <v>37.6</v>
      </c>
      <c r="F11666" s="3" t="inlineStr">
        <is>
          <t>전의면</t>
        </is>
      </c>
      <c r="G11666" s="3" t="inlineStr">
        <is>
          <t>신정리</t>
        </is>
      </c>
      <c r="H11666" s="3" t="inlineStr">
        <is>
          <t>농림지역</t>
        </is>
      </c>
      <c r="I11666" s="3" t="inlineStr">
        <is>
          <t>답</t>
        </is>
      </c>
      <c r="J11666" s="3" t="inlineStr">
        <is>
          <t>전의면</t>
        </is>
      </c>
    </row>
    <row r="11667">
      <c r="A11667" s="3" t="n">
        <v>2026</v>
      </c>
      <c r="B11667" s="4" t="n">
        <v>17700</v>
      </c>
      <c r="C11667" s="4" t="n">
        <v>1574</v>
      </c>
      <c r="D11667" s="4" t="n">
        <v>476.135</v>
      </c>
      <c r="E11667" s="5" t="n">
        <v>37.2</v>
      </c>
      <c r="F11667" s="3" t="inlineStr">
        <is>
          <t>전의면</t>
        </is>
      </c>
      <c r="G11667" s="3" t="inlineStr">
        <is>
          <t>신정리</t>
        </is>
      </c>
      <c r="H11667" s="3" t="inlineStr">
        <is>
          <t>농림지역</t>
        </is>
      </c>
      <c r="I11667" s="3" t="inlineStr">
        <is>
          <t>전</t>
        </is>
      </c>
      <c r="J11667" s="3" t="inlineStr">
        <is>
          <t>전의면</t>
        </is>
      </c>
    </row>
    <row r="11668">
      <c r="A11668" s="3" t="n">
        <v>2026</v>
      </c>
      <c r="B11668" s="4" t="n">
        <v>15400</v>
      </c>
      <c r="C11668" s="4" t="n">
        <v>1375</v>
      </c>
      <c r="D11668" s="4" t="n">
        <v>415.9375</v>
      </c>
      <c r="E11668" s="5" t="n">
        <v>37</v>
      </c>
      <c r="F11668" s="3" t="inlineStr">
        <is>
          <t>전의면</t>
        </is>
      </c>
      <c r="G11668" s="3" t="inlineStr">
        <is>
          <t>신정리</t>
        </is>
      </c>
      <c r="H11668" s="3" t="inlineStr">
        <is>
          <t>농림지역</t>
        </is>
      </c>
      <c r="I11668" s="3" t="inlineStr">
        <is>
          <t>전</t>
        </is>
      </c>
      <c r="J11668" s="3" t="inlineStr">
        <is>
          <t>전의면</t>
        </is>
      </c>
    </row>
    <row r="11669">
      <c r="A11669" s="3" t="n">
        <v>2026</v>
      </c>
      <c r="B11669" s="4" t="n">
        <v>41600</v>
      </c>
      <c r="C11669" s="4" t="n">
        <v>3722</v>
      </c>
      <c r="D11669" s="4" t="n">
        <v>1125.905</v>
      </c>
      <c r="E11669" s="5" t="n">
        <v>36.9</v>
      </c>
      <c r="F11669" s="3" t="inlineStr">
        <is>
          <t>전의면</t>
        </is>
      </c>
      <c r="G11669" s="3" t="inlineStr">
        <is>
          <t>신정리</t>
        </is>
      </c>
      <c r="H11669" s="3" t="inlineStr">
        <is>
          <t>농림지역</t>
        </is>
      </c>
      <c r="I11669" s="3" t="inlineStr">
        <is>
          <t>답</t>
        </is>
      </c>
      <c r="J11669" s="3" t="inlineStr">
        <is>
          <t>전의면</t>
        </is>
      </c>
    </row>
    <row r="11670">
      <c r="A11670" s="3" t="n">
        <v>2026</v>
      </c>
      <c r="B11670" s="4" t="n">
        <v>12800</v>
      </c>
      <c r="C11670" s="4" t="n">
        <v>1130</v>
      </c>
      <c r="D11670" s="4" t="n">
        <v>341.825</v>
      </c>
      <c r="E11670" s="5" t="n">
        <v>37.4</v>
      </c>
      <c r="F11670" s="3" t="inlineStr">
        <is>
          <t>전의면</t>
        </is>
      </c>
      <c r="G11670" s="3" t="inlineStr">
        <is>
          <t>신정리</t>
        </is>
      </c>
      <c r="H11670" s="3" t="inlineStr">
        <is>
          <t>농림지역</t>
        </is>
      </c>
      <c r="I11670" s="3" t="inlineStr">
        <is>
          <t>전</t>
        </is>
      </c>
      <c r="J11670" s="3" t="inlineStr">
        <is>
          <t>전의면</t>
        </is>
      </c>
    </row>
    <row r="11671">
      <c r="A11671" s="3" t="n">
        <v>2026</v>
      </c>
      <c r="B11671" s="4" t="n">
        <v>50988</v>
      </c>
      <c r="C11671" s="4" t="n">
        <v>6020</v>
      </c>
      <c r="D11671" s="4" t="n">
        <v>1821.05</v>
      </c>
      <c r="E11671" s="5" t="n">
        <v>28</v>
      </c>
      <c r="F11671" s="3" t="inlineStr">
        <is>
          <t>전의면</t>
        </is>
      </c>
      <c r="G11671" s="3" t="inlineStr">
        <is>
          <t>신정리</t>
        </is>
      </c>
      <c r="H11671" s="3" t="inlineStr">
        <is>
          <t>농림지역</t>
        </is>
      </c>
      <c r="I11671" s="3" t="inlineStr">
        <is>
          <t>답</t>
        </is>
      </c>
      <c r="J11671" s="3" t="inlineStr">
        <is>
          <t>전의면</t>
        </is>
      </c>
    </row>
    <row r="11672">
      <c r="A11672" s="3" t="n">
        <v>2026</v>
      </c>
      <c r="B11672" s="4" t="n">
        <v>12075</v>
      </c>
      <c r="C11672" s="4" t="n">
        <v>453</v>
      </c>
      <c r="D11672" s="4" t="n">
        <v>137.0325</v>
      </c>
      <c r="E11672" s="5" t="n">
        <v>88.09999999999999</v>
      </c>
      <c r="F11672" s="3" t="inlineStr">
        <is>
          <t>장군면</t>
        </is>
      </c>
      <c r="G11672" s="3" t="inlineStr">
        <is>
          <t>도계리</t>
        </is>
      </c>
      <c r="H11672" s="3" t="inlineStr">
        <is>
          <t>보전관리지역</t>
        </is>
      </c>
      <c r="I11672" s="3" t="inlineStr">
        <is>
          <t>임야</t>
        </is>
      </c>
      <c r="J11672" s="3" t="inlineStr">
        <is>
          <t>장군면</t>
        </is>
      </c>
    </row>
    <row r="11673">
      <c r="A11673" s="3" t="n">
        <v>2026</v>
      </c>
      <c r="B11673" s="4" t="n">
        <v>18154</v>
      </c>
      <c r="C11673" s="4" t="n">
        <v>681</v>
      </c>
      <c r="D11673" s="4" t="n">
        <v>206.0025</v>
      </c>
      <c r="E11673" s="5" t="n">
        <v>88.09999999999999</v>
      </c>
      <c r="F11673" s="3" t="inlineStr">
        <is>
          <t>장군면</t>
        </is>
      </c>
      <c r="G11673" s="3" t="inlineStr">
        <is>
          <t>도계리</t>
        </is>
      </c>
      <c r="H11673" s="3" t="inlineStr">
        <is>
          <t>보전관리지역</t>
        </is>
      </c>
      <c r="I11673" s="3" t="inlineStr">
        <is>
          <t>임야</t>
        </is>
      </c>
      <c r="J11673" s="3" t="inlineStr">
        <is>
          <t>장군면</t>
        </is>
      </c>
    </row>
    <row r="11674">
      <c r="A11674" s="3" t="n">
        <v>2026</v>
      </c>
      <c r="B11674" s="4" t="n">
        <v>48140</v>
      </c>
      <c r="C11674" s="4" t="n">
        <v>1806</v>
      </c>
      <c r="D11674" s="4" t="n">
        <v>546.3149999999999</v>
      </c>
      <c r="E11674" s="5" t="n">
        <v>88.09999999999999</v>
      </c>
      <c r="F11674" s="3" t="inlineStr">
        <is>
          <t>장군면</t>
        </is>
      </c>
      <c r="G11674" s="3" t="inlineStr">
        <is>
          <t>도계리</t>
        </is>
      </c>
      <c r="H11674" s="3" t="inlineStr">
        <is>
          <t>보전관리지역</t>
        </is>
      </c>
      <c r="I11674" s="3" t="inlineStr">
        <is>
          <t>임야</t>
        </is>
      </c>
      <c r="J11674" s="3" t="inlineStr">
        <is>
          <t>장군면</t>
        </is>
      </c>
    </row>
    <row r="11675">
      <c r="A11675" s="3" t="n">
        <v>2026</v>
      </c>
      <c r="B11675" s="4" t="n">
        <v>47155</v>
      </c>
      <c r="C11675" s="4" t="n">
        <v>1769</v>
      </c>
      <c r="D11675" s="4" t="n">
        <v>535.1224999999999</v>
      </c>
      <c r="E11675" s="5" t="n">
        <v>88.09999999999999</v>
      </c>
      <c r="F11675" s="3" t="inlineStr">
        <is>
          <t>장군면</t>
        </is>
      </c>
      <c r="G11675" s="3" t="inlineStr">
        <is>
          <t>도계리</t>
        </is>
      </c>
      <c r="H11675" s="3" t="inlineStr">
        <is>
          <t>계획관리지역</t>
        </is>
      </c>
      <c r="I11675" s="3" t="inlineStr">
        <is>
          <t>임야</t>
        </is>
      </c>
      <c r="J11675" s="3" t="inlineStr">
        <is>
          <t>장군면</t>
        </is>
      </c>
    </row>
    <row r="11676">
      <c r="A11676" s="3" t="n">
        <v>2026</v>
      </c>
      <c r="B11676" s="4" t="n">
        <v>41797</v>
      </c>
      <c r="C11676" s="4" t="n">
        <v>1568</v>
      </c>
      <c r="D11676" s="4" t="n">
        <v>474.32</v>
      </c>
      <c r="E11676" s="5" t="n">
        <v>88.09999999999999</v>
      </c>
      <c r="F11676" s="3" t="inlineStr">
        <is>
          <t>장군면</t>
        </is>
      </c>
      <c r="G11676" s="3" t="inlineStr">
        <is>
          <t>도계리</t>
        </is>
      </c>
      <c r="H11676" s="3" t="inlineStr">
        <is>
          <t>보전관리지역</t>
        </is>
      </c>
      <c r="I11676" s="3" t="inlineStr">
        <is>
          <t>임야</t>
        </is>
      </c>
      <c r="J11676" s="3" t="inlineStr">
        <is>
          <t>장군면</t>
        </is>
      </c>
    </row>
    <row r="11677">
      <c r="A11677" s="3" t="n">
        <v>2026</v>
      </c>
      <c r="B11677" s="4" t="n">
        <v>3172</v>
      </c>
      <c r="C11677" s="4" t="n">
        <v>119</v>
      </c>
      <c r="D11677" s="4" t="n">
        <v>35.9975</v>
      </c>
      <c r="E11677" s="5" t="n">
        <v>88.09999999999999</v>
      </c>
      <c r="F11677" s="3" t="inlineStr">
        <is>
          <t>장군면</t>
        </is>
      </c>
      <c r="G11677" s="3" t="inlineStr">
        <is>
          <t>도계리</t>
        </is>
      </c>
      <c r="H11677" s="3" t="inlineStr">
        <is>
          <t>보전관리지역</t>
        </is>
      </c>
      <c r="I11677" s="3" t="inlineStr">
        <is>
          <t>대</t>
        </is>
      </c>
      <c r="J11677" s="3" t="inlineStr">
        <is>
          <t>장군면</t>
        </is>
      </c>
    </row>
    <row r="11678">
      <c r="A11678" s="3" t="n">
        <v>2026</v>
      </c>
      <c r="B11678" s="4" t="n">
        <v>3598</v>
      </c>
      <c r="C11678" s="4" t="n">
        <v>135</v>
      </c>
      <c r="D11678" s="4" t="n">
        <v>40.8375</v>
      </c>
      <c r="E11678" s="5" t="n">
        <v>88.09999999999999</v>
      </c>
      <c r="F11678" s="3" t="inlineStr">
        <is>
          <t>장군면</t>
        </is>
      </c>
      <c r="G11678" s="3" t="inlineStr">
        <is>
          <t>도계리</t>
        </is>
      </c>
      <c r="H11678" s="3" t="inlineStr">
        <is>
          <t>보전관리지역</t>
        </is>
      </c>
      <c r="I11678" s="3" t="inlineStr">
        <is>
          <t>도로</t>
        </is>
      </c>
      <c r="J11678" s="3" t="inlineStr">
        <is>
          <t>장군면</t>
        </is>
      </c>
    </row>
    <row r="11679">
      <c r="A11679" s="3" t="n">
        <v>2026</v>
      </c>
      <c r="B11679" s="4" t="n">
        <v>720</v>
      </c>
      <c r="C11679" s="4" t="n">
        <v>27</v>
      </c>
      <c r="D11679" s="4" t="n">
        <v>8.1675</v>
      </c>
      <c r="E11679" s="5" t="n">
        <v>88.2</v>
      </c>
      <c r="F11679" s="3" t="inlineStr">
        <is>
          <t>장군면</t>
        </is>
      </c>
      <c r="G11679" s="3" t="inlineStr">
        <is>
          <t>도계리</t>
        </is>
      </c>
      <c r="H11679" s="3" t="inlineStr">
        <is>
          <t>보전관리지역</t>
        </is>
      </c>
      <c r="I11679" s="3" t="inlineStr">
        <is>
          <t>임야</t>
        </is>
      </c>
      <c r="J11679" s="3" t="inlineStr">
        <is>
          <t>장군면</t>
        </is>
      </c>
    </row>
    <row r="11680">
      <c r="A11680" s="3" t="n">
        <v>2026</v>
      </c>
      <c r="B11680" s="4" t="n">
        <v>9009</v>
      </c>
      <c r="C11680" s="4" t="n">
        <v>338</v>
      </c>
      <c r="D11680" s="4" t="n">
        <v>102.245</v>
      </c>
      <c r="E11680" s="5" t="n">
        <v>88.09999999999999</v>
      </c>
      <c r="F11680" s="3" t="inlineStr">
        <is>
          <t>장군면</t>
        </is>
      </c>
      <c r="G11680" s="3" t="inlineStr">
        <is>
          <t>도계리</t>
        </is>
      </c>
      <c r="H11680" s="3" t="inlineStr">
        <is>
          <t>보전관리지역</t>
        </is>
      </c>
      <c r="I11680" s="3" t="inlineStr">
        <is>
          <t>임야</t>
        </is>
      </c>
      <c r="J11680" s="3" t="inlineStr">
        <is>
          <t>장군면</t>
        </is>
      </c>
    </row>
    <row r="11681">
      <c r="A11681" s="3" t="n">
        <v>2022</v>
      </c>
      <c r="B11681" s="4" t="n">
        <v>3332</v>
      </c>
      <c r="C11681" s="4" t="n">
        <v>1576</v>
      </c>
      <c r="D11681" s="4" t="n">
        <v>476.74</v>
      </c>
      <c r="E11681" s="5" t="n">
        <v>7</v>
      </c>
      <c r="F11681" s="3" t="inlineStr">
        <is>
          <t>전동면</t>
        </is>
      </c>
      <c r="G11681" s="3" t="inlineStr">
        <is>
          <t>청람리</t>
        </is>
      </c>
      <c r="H11681" s="3" t="inlineStr">
        <is>
          <t>보전관리지역</t>
        </is>
      </c>
      <c r="I11681" s="3" t="inlineStr">
        <is>
          <t>임야</t>
        </is>
      </c>
      <c r="J11681" s="3" t="inlineStr">
        <is>
          <t>전동면</t>
        </is>
      </c>
    </row>
    <row r="11682">
      <c r="A11682" s="3" t="n">
        <v>2022</v>
      </c>
      <c r="B11682" s="4" t="n">
        <v>79300</v>
      </c>
      <c r="C11682" s="4" t="n">
        <v>463</v>
      </c>
      <c r="D11682" s="4" t="n">
        <v>140.0575</v>
      </c>
      <c r="E11682" s="5" t="n">
        <v>566.2</v>
      </c>
      <c r="F11682" s="3" t="inlineStr">
        <is>
          <t>장군면</t>
        </is>
      </c>
      <c r="G11682" s="3" t="inlineStr">
        <is>
          <t>금암리</t>
        </is>
      </c>
      <c r="H11682" s="3" t="inlineStr">
        <is>
          <t>보전관리지역</t>
        </is>
      </c>
      <c r="I11682" s="3" t="inlineStr">
        <is>
          <t>임야</t>
        </is>
      </c>
      <c r="J11682" s="3" t="inlineStr">
        <is>
          <t>장군면</t>
        </is>
      </c>
    </row>
    <row r="11683">
      <c r="A11683" s="3" t="n">
        <v>2022</v>
      </c>
      <c r="B11683" s="4" t="n">
        <v>6383</v>
      </c>
      <c r="C11683" s="4" t="n">
        <v>177</v>
      </c>
      <c r="D11683" s="4" t="n">
        <v>53.5425</v>
      </c>
      <c r="E11683" s="5" t="n">
        <v>119.2</v>
      </c>
      <c r="F11683" s="3" t="inlineStr">
        <is>
          <t>연서면</t>
        </is>
      </c>
      <c r="G11683" s="3" t="inlineStr">
        <is>
          <t>월하리</t>
        </is>
      </c>
      <c r="H11683" s="3" t="inlineStr">
        <is>
          <t>보전관리지역</t>
        </is>
      </c>
      <c r="I11683" s="3" t="inlineStr">
        <is>
          <t>전</t>
        </is>
      </c>
      <c r="J11683" s="3" t="inlineStr">
        <is>
          <t>연서면</t>
        </is>
      </c>
    </row>
    <row r="11684">
      <c r="A11684" s="3" t="n">
        <v>2023</v>
      </c>
      <c r="B11684" s="4" t="n">
        <v>70000</v>
      </c>
      <c r="C11684" s="4" t="n">
        <v>476</v>
      </c>
      <c r="D11684" s="4" t="n">
        <v>143.99</v>
      </c>
      <c r="E11684" s="5" t="n">
        <v>486.1</v>
      </c>
      <c r="F11684" s="3" t="inlineStr">
        <is>
          <t>반곡동</t>
        </is>
      </c>
      <c r="G11684" s="3" t="inlineStr"/>
      <c r="H11684" s="3" t="inlineStr">
        <is>
          <t>제1종전용주거지역</t>
        </is>
      </c>
      <c r="I11684" s="3" t="inlineStr">
        <is>
          <t>대</t>
        </is>
      </c>
      <c r="J11684" s="3" t="inlineStr">
        <is>
          <t>반곡동</t>
        </is>
      </c>
    </row>
    <row r="11685">
      <c r="A11685" s="3" t="n">
        <v>2023</v>
      </c>
      <c r="B11685" s="4" t="n">
        <v>58300</v>
      </c>
      <c r="C11685" s="4" t="n">
        <v>825</v>
      </c>
      <c r="D11685" s="4" t="n">
        <v>249.5625</v>
      </c>
      <c r="E11685" s="5" t="n">
        <v>233.6</v>
      </c>
      <c r="F11685" s="3" t="inlineStr">
        <is>
          <t>연서면</t>
        </is>
      </c>
      <c r="G11685" s="3" t="inlineStr">
        <is>
          <t>봉암리</t>
        </is>
      </c>
      <c r="H11685" s="3" t="inlineStr">
        <is>
          <t>계획관리지역</t>
        </is>
      </c>
      <c r="I11685" s="3" t="inlineStr">
        <is>
          <t>임야</t>
        </is>
      </c>
      <c r="J11685" s="3" t="inlineStr">
        <is>
          <t>연서면</t>
        </is>
      </c>
    </row>
    <row r="11686">
      <c r="A11686" s="3" t="n">
        <v>2023</v>
      </c>
      <c r="B11686" s="4" t="n">
        <v>8700</v>
      </c>
      <c r="C11686" s="4" t="n">
        <v>123</v>
      </c>
      <c r="D11686" s="4" t="n">
        <v>37.2075</v>
      </c>
      <c r="E11686" s="5" t="n">
        <v>233.8</v>
      </c>
      <c r="F11686" s="3" t="inlineStr">
        <is>
          <t>연서면</t>
        </is>
      </c>
      <c r="G11686" s="3" t="inlineStr">
        <is>
          <t>봉암리</t>
        </is>
      </c>
      <c r="H11686" s="3" t="inlineStr">
        <is>
          <t>계획관리지역</t>
        </is>
      </c>
      <c r="I11686" s="3" t="inlineStr">
        <is>
          <t>임야</t>
        </is>
      </c>
      <c r="J11686" s="3" t="inlineStr">
        <is>
          <t>연서면</t>
        </is>
      </c>
    </row>
    <row r="11687">
      <c r="A11687" s="3" t="n">
        <v>2023</v>
      </c>
      <c r="B11687" s="4" t="n">
        <v>29178</v>
      </c>
      <c r="C11687" s="4" t="n">
        <v>331</v>
      </c>
      <c r="D11687" s="4" t="n">
        <v>100.1275</v>
      </c>
      <c r="E11687" s="5" t="n">
        <v>291.4</v>
      </c>
      <c r="F11687" s="3" t="inlineStr">
        <is>
          <t>금남면</t>
        </is>
      </c>
      <c r="G11687" s="3" t="inlineStr">
        <is>
          <t>감성리</t>
        </is>
      </c>
      <c r="H11687" s="3" t="inlineStr">
        <is>
          <t>계획관리지역</t>
        </is>
      </c>
      <c r="I11687" s="3" t="inlineStr">
        <is>
          <t>도로</t>
        </is>
      </c>
      <c r="J11687" s="3" t="inlineStr">
        <is>
          <t>금남면</t>
        </is>
      </c>
    </row>
    <row r="11688">
      <c r="A11688" s="3" t="n">
        <v>2023</v>
      </c>
      <c r="B11688" s="4" t="n">
        <v>1616</v>
      </c>
      <c r="C11688" s="4" t="n">
        <v>26</v>
      </c>
      <c r="D11688" s="4" t="n">
        <v>7.865</v>
      </c>
      <c r="E11688" s="5" t="n">
        <v>205.5</v>
      </c>
      <c r="F11688" s="3" t="inlineStr">
        <is>
          <t>금남면</t>
        </is>
      </c>
      <c r="G11688" s="3" t="inlineStr">
        <is>
          <t>감성리</t>
        </is>
      </c>
      <c r="H11688" s="3" t="inlineStr">
        <is>
          <t>계획관리지역</t>
        </is>
      </c>
      <c r="I11688" s="3" t="inlineStr">
        <is>
          <t>도로</t>
        </is>
      </c>
      <c r="J11688" s="3" t="inlineStr">
        <is>
          <t>금남면</t>
        </is>
      </c>
    </row>
    <row r="11689">
      <c r="A11689" s="3" t="n">
        <v>2023</v>
      </c>
      <c r="B11689" s="4" t="n">
        <v>13260</v>
      </c>
      <c r="C11689" s="4" t="n">
        <v>732</v>
      </c>
      <c r="D11689" s="4" t="n">
        <v>221.43</v>
      </c>
      <c r="E11689" s="5" t="n">
        <v>59.9</v>
      </c>
      <c r="F11689" s="3" t="inlineStr">
        <is>
          <t>전동면</t>
        </is>
      </c>
      <c r="G11689" s="3" t="inlineStr">
        <is>
          <t>심중리</t>
        </is>
      </c>
      <c r="H11689" s="3" t="inlineStr">
        <is>
          <t>보전관리지역</t>
        </is>
      </c>
      <c r="I11689" s="3" t="inlineStr">
        <is>
          <t>하천</t>
        </is>
      </c>
      <c r="J11689" s="3" t="inlineStr">
        <is>
          <t>전동면</t>
        </is>
      </c>
    </row>
    <row r="11690">
      <c r="A11690" s="3" t="n">
        <v>2023</v>
      </c>
      <c r="B11690" s="4" t="n">
        <v>46625</v>
      </c>
      <c r="C11690" s="4" t="n">
        <v>1234</v>
      </c>
      <c r="D11690" s="4" t="n">
        <v>373.285</v>
      </c>
      <c r="E11690" s="5" t="n">
        <v>124.9</v>
      </c>
      <c r="F11690" s="3" t="inlineStr">
        <is>
          <t>전동면</t>
        </is>
      </c>
      <c r="G11690" s="3" t="inlineStr">
        <is>
          <t>심중리</t>
        </is>
      </c>
      <c r="H11690" s="3" t="inlineStr">
        <is>
          <t>계획관리지역</t>
        </is>
      </c>
      <c r="I11690" s="3" t="inlineStr">
        <is>
          <t>전</t>
        </is>
      </c>
      <c r="J11690" s="3" t="inlineStr">
        <is>
          <t>전동면</t>
        </is>
      </c>
    </row>
    <row r="11691">
      <c r="A11691" s="3" t="n">
        <v>2023</v>
      </c>
      <c r="B11691" s="4" t="n">
        <v>39550</v>
      </c>
      <c r="C11691" s="4" t="n">
        <v>1868</v>
      </c>
      <c r="D11691" s="4" t="n">
        <v>565.0699999999999</v>
      </c>
      <c r="E11691" s="5" t="n">
        <v>70</v>
      </c>
      <c r="F11691" s="3" t="inlineStr">
        <is>
          <t>전동면</t>
        </is>
      </c>
      <c r="G11691" s="3" t="inlineStr">
        <is>
          <t>심중리</t>
        </is>
      </c>
      <c r="H11691" s="3" t="inlineStr">
        <is>
          <t>계획관리지역</t>
        </is>
      </c>
      <c r="I11691" s="3" t="inlineStr">
        <is>
          <t>답</t>
        </is>
      </c>
      <c r="J11691" s="3" t="inlineStr">
        <is>
          <t>전동면</t>
        </is>
      </c>
    </row>
    <row r="11692">
      <c r="A11692" s="3" t="n">
        <v>2023</v>
      </c>
      <c r="B11692" s="4" t="n">
        <v>42435</v>
      </c>
      <c r="C11692" s="4" t="n">
        <v>576</v>
      </c>
      <c r="D11692" s="4" t="n">
        <v>174.24</v>
      </c>
      <c r="E11692" s="5" t="n">
        <v>243.5</v>
      </c>
      <c r="F11692" s="3" t="inlineStr">
        <is>
          <t>장군면</t>
        </is>
      </c>
      <c r="G11692" s="3" t="inlineStr">
        <is>
          <t>대교리</t>
        </is>
      </c>
      <c r="H11692" s="3" t="inlineStr">
        <is>
          <t>보전관리지역</t>
        </is>
      </c>
      <c r="I11692" s="3" t="inlineStr">
        <is>
          <t>임야</t>
        </is>
      </c>
      <c r="J11692" s="3" t="inlineStr">
        <is>
          <t>장군면</t>
        </is>
      </c>
    </row>
    <row r="11693">
      <c r="A11693" s="3" t="n">
        <v>2023</v>
      </c>
      <c r="B11693" s="4" t="n">
        <v>1200</v>
      </c>
      <c r="C11693" s="4" t="n">
        <v>20</v>
      </c>
      <c r="D11693" s="4" t="n">
        <v>6.05</v>
      </c>
      <c r="E11693" s="5" t="n">
        <v>198.3</v>
      </c>
      <c r="F11693" s="3" t="inlineStr">
        <is>
          <t>조치원읍</t>
        </is>
      </c>
      <c r="G11693" s="3" t="inlineStr">
        <is>
          <t>번암리</t>
        </is>
      </c>
      <c r="H11693" s="3" t="inlineStr">
        <is>
          <t>일반공업지역</t>
        </is>
      </c>
      <c r="I11693" s="3" t="inlineStr">
        <is>
          <t>전</t>
        </is>
      </c>
      <c r="J11693" s="3" t="inlineStr">
        <is>
          <t>조치원읍</t>
        </is>
      </c>
    </row>
    <row r="11694">
      <c r="A11694" s="3" t="n">
        <v>2023</v>
      </c>
      <c r="B11694" s="4" t="n">
        <v>1000</v>
      </c>
      <c r="C11694" s="4" t="n">
        <v>200</v>
      </c>
      <c r="D11694" s="4" t="n">
        <v>60.5</v>
      </c>
      <c r="E11694" s="5" t="n">
        <v>16.5</v>
      </c>
      <c r="F11694" s="3" t="inlineStr">
        <is>
          <t>부강면</t>
        </is>
      </c>
      <c r="G11694" s="3" t="inlineStr">
        <is>
          <t>문곡리</t>
        </is>
      </c>
      <c r="H11694" s="3" t="inlineStr">
        <is>
          <t>계획관리지역</t>
        </is>
      </c>
      <c r="I11694" s="3" t="inlineStr">
        <is>
          <t>임야</t>
        </is>
      </c>
      <c r="J11694" s="3" t="inlineStr">
        <is>
          <t>부강면</t>
        </is>
      </c>
    </row>
    <row r="11695">
      <c r="A11695" s="3" t="n">
        <v>2023</v>
      </c>
      <c r="B11695" s="4" t="n">
        <v>100000</v>
      </c>
      <c r="C11695" s="4" t="n">
        <v>329.3</v>
      </c>
      <c r="D11695" s="4" t="n">
        <v>99.61324999999999</v>
      </c>
      <c r="E11695" s="5" t="n">
        <v>1003.9</v>
      </c>
      <c r="F11695" s="3" t="inlineStr">
        <is>
          <t>도담동</t>
        </is>
      </c>
      <c r="G11695" s="3" t="inlineStr"/>
      <c r="H11695" s="3" t="inlineStr">
        <is>
          <t>제1종전용주거지역</t>
        </is>
      </c>
      <c r="I11695" s="3" t="inlineStr">
        <is>
          <t>대</t>
        </is>
      </c>
      <c r="J11695" s="3" t="inlineStr">
        <is>
          <t>도담동</t>
        </is>
      </c>
    </row>
    <row r="11696">
      <c r="A11696" s="3" t="n">
        <v>2023</v>
      </c>
      <c r="B11696" s="4" t="n">
        <v>7500</v>
      </c>
      <c r="C11696" s="4" t="n">
        <v>82</v>
      </c>
      <c r="D11696" s="4" t="n">
        <v>24.805</v>
      </c>
      <c r="E11696" s="5" t="n">
        <v>302.4</v>
      </c>
      <c r="F11696" s="3" t="inlineStr">
        <is>
          <t>금남면</t>
        </is>
      </c>
      <c r="G11696" s="3" t="inlineStr">
        <is>
          <t>영곡리</t>
        </is>
      </c>
      <c r="H11696" s="3" t="inlineStr">
        <is>
          <t>계획관리지역</t>
        </is>
      </c>
      <c r="I11696" s="3" t="inlineStr">
        <is>
          <t>과수원</t>
        </is>
      </c>
      <c r="J11696" s="3" t="inlineStr">
        <is>
          <t>금남면</t>
        </is>
      </c>
    </row>
    <row r="11697">
      <c r="A11697" s="3" t="n">
        <v>2023</v>
      </c>
      <c r="B11697" s="4" t="n">
        <v>10000</v>
      </c>
      <c r="C11697" s="4" t="n">
        <v>545.3</v>
      </c>
      <c r="D11697" s="4" t="n">
        <v>164.95325</v>
      </c>
      <c r="E11697" s="5" t="n">
        <v>60.6</v>
      </c>
      <c r="F11697" s="3" t="inlineStr">
        <is>
          <t>금남면</t>
        </is>
      </c>
      <c r="G11697" s="3" t="inlineStr">
        <is>
          <t>부용리</t>
        </is>
      </c>
      <c r="H11697" s="3" t="inlineStr">
        <is>
          <t>개발제한구역</t>
        </is>
      </c>
      <c r="I11697" s="3" t="inlineStr">
        <is>
          <t>답</t>
        </is>
      </c>
      <c r="J11697" s="3" t="inlineStr">
        <is>
          <t>금남면</t>
        </is>
      </c>
    </row>
    <row r="11698">
      <c r="A11698" s="3" t="n">
        <v>2023</v>
      </c>
      <c r="B11698" s="4" t="n">
        <v>22000</v>
      </c>
      <c r="C11698" s="4" t="n">
        <v>493</v>
      </c>
      <c r="D11698" s="4" t="n">
        <v>149.1325</v>
      </c>
      <c r="E11698" s="5" t="n">
        <v>147.5</v>
      </c>
      <c r="F11698" s="3" t="inlineStr">
        <is>
          <t>전동면</t>
        </is>
      </c>
      <c r="G11698" s="3" t="inlineStr">
        <is>
          <t>심중리</t>
        </is>
      </c>
      <c r="H11698" s="3" t="inlineStr">
        <is>
          <t>보전관리지역</t>
        </is>
      </c>
      <c r="I11698" s="3" t="inlineStr">
        <is>
          <t>하천</t>
        </is>
      </c>
      <c r="J11698" s="3" t="inlineStr">
        <is>
          <t>전동면</t>
        </is>
      </c>
    </row>
    <row r="11699">
      <c r="A11699" s="3" t="n">
        <v>2023</v>
      </c>
      <c r="B11699" s="4" t="n">
        <v>8000</v>
      </c>
      <c r="C11699" s="4" t="n">
        <v>889</v>
      </c>
      <c r="D11699" s="4" t="n">
        <v>268.9225</v>
      </c>
      <c r="E11699" s="5" t="n">
        <v>29.7</v>
      </c>
      <c r="F11699" s="3" t="inlineStr">
        <is>
          <t>전동면</t>
        </is>
      </c>
      <c r="G11699" s="3" t="inlineStr">
        <is>
          <t>청람리</t>
        </is>
      </c>
      <c r="H11699" s="3" t="inlineStr">
        <is>
          <t>생산관리지역</t>
        </is>
      </c>
      <c r="I11699" s="3" t="inlineStr">
        <is>
          <t>답</t>
        </is>
      </c>
      <c r="J11699" s="3" t="inlineStr">
        <is>
          <t>전동면</t>
        </is>
      </c>
    </row>
    <row r="11700">
      <c r="A11700" s="3" t="n">
        <v>2023</v>
      </c>
      <c r="B11700" s="4" t="n">
        <v>40664</v>
      </c>
      <c r="C11700" s="4" t="n">
        <v>950</v>
      </c>
      <c r="D11700" s="4" t="n">
        <v>287.375</v>
      </c>
      <c r="E11700" s="5" t="n">
        <v>141.5</v>
      </c>
      <c r="F11700" s="3" t="inlineStr">
        <is>
          <t>금남면</t>
        </is>
      </c>
      <c r="G11700" s="3" t="inlineStr">
        <is>
          <t>대박리</t>
        </is>
      </c>
      <c r="H11700" s="3" t="inlineStr">
        <is>
          <t>개발제한구역</t>
        </is>
      </c>
      <c r="I11700" s="3" t="inlineStr">
        <is>
          <t>주차장</t>
        </is>
      </c>
      <c r="J11700" s="3" t="inlineStr">
        <is>
          <t>금남면</t>
        </is>
      </c>
    </row>
    <row r="11701">
      <c r="A11701" s="3" t="n">
        <v>2023</v>
      </c>
      <c r="B11701" s="4" t="n">
        <v>840</v>
      </c>
      <c r="C11701" s="4" t="n">
        <v>20</v>
      </c>
      <c r="D11701" s="4" t="n">
        <v>6.05</v>
      </c>
      <c r="E11701" s="5" t="n">
        <v>138.8</v>
      </c>
      <c r="F11701" s="3" t="inlineStr">
        <is>
          <t>금남면</t>
        </is>
      </c>
      <c r="G11701" s="3" t="inlineStr">
        <is>
          <t>대박리</t>
        </is>
      </c>
      <c r="H11701" s="3" t="inlineStr">
        <is>
          <t>제1종일반주거지역</t>
        </is>
      </c>
      <c r="I11701" s="3" t="inlineStr">
        <is>
          <t>전</t>
        </is>
      </c>
      <c r="J11701" s="3" t="inlineStr">
        <is>
          <t>금남면</t>
        </is>
      </c>
    </row>
    <row r="11702">
      <c r="A11702" s="3" t="n">
        <v>2023</v>
      </c>
      <c r="B11702" s="4" t="n">
        <v>3948</v>
      </c>
      <c r="C11702" s="4" t="n">
        <v>94</v>
      </c>
      <c r="D11702" s="4" t="n">
        <v>28.435</v>
      </c>
      <c r="E11702" s="5" t="n">
        <v>138.8</v>
      </c>
      <c r="F11702" s="3" t="inlineStr">
        <is>
          <t>금남면</t>
        </is>
      </c>
      <c r="G11702" s="3" t="inlineStr">
        <is>
          <t>대박리</t>
        </is>
      </c>
      <c r="H11702" s="3" t="inlineStr">
        <is>
          <t>자연녹지지역</t>
        </is>
      </c>
      <c r="I11702" s="3" t="inlineStr">
        <is>
          <t>전</t>
        </is>
      </c>
      <c r="J11702" s="3" t="inlineStr">
        <is>
          <t>금남면</t>
        </is>
      </c>
    </row>
    <row r="11703">
      <c r="A11703" s="3" t="n">
        <v>2023</v>
      </c>
      <c r="B11703" s="4" t="n">
        <v>13350</v>
      </c>
      <c r="C11703" s="4" t="n">
        <v>496</v>
      </c>
      <c r="D11703" s="4" t="n">
        <v>150.04</v>
      </c>
      <c r="E11703" s="5" t="n">
        <v>89</v>
      </c>
      <c r="F11703" s="3" t="inlineStr">
        <is>
          <t>연동면</t>
        </is>
      </c>
      <c r="G11703" s="3" t="inlineStr">
        <is>
          <t>명학리</t>
        </is>
      </c>
      <c r="H11703" s="3" t="inlineStr">
        <is>
          <t>농림지역</t>
        </is>
      </c>
      <c r="I11703" s="3" t="inlineStr">
        <is>
          <t>임야</t>
        </is>
      </c>
      <c r="J11703" s="3" t="inlineStr">
        <is>
          <t>연동면</t>
        </is>
      </c>
    </row>
    <row r="11704">
      <c r="A11704" s="3" t="n">
        <v>2023</v>
      </c>
      <c r="B11704" s="4" t="n">
        <v>6342</v>
      </c>
      <c r="C11704" s="4" t="n">
        <v>5990</v>
      </c>
      <c r="D11704" s="4" t="n">
        <v>1811.975</v>
      </c>
      <c r="E11704" s="5" t="n">
        <v>3.5</v>
      </c>
      <c r="F11704" s="3" t="inlineStr">
        <is>
          <t>전동면</t>
        </is>
      </c>
      <c r="G11704" s="3" t="inlineStr">
        <is>
          <t>보덕리</t>
        </is>
      </c>
      <c r="H11704" s="3" t="inlineStr">
        <is>
          <t>농림지역</t>
        </is>
      </c>
      <c r="I11704" s="3" t="inlineStr">
        <is>
          <t>임야</t>
        </is>
      </c>
      <c r="J11704" s="3" t="inlineStr">
        <is>
          <t>전동면</t>
        </is>
      </c>
    </row>
    <row r="11705">
      <c r="A11705" s="3" t="n">
        <v>2023</v>
      </c>
      <c r="B11705" s="4" t="n">
        <v>40824</v>
      </c>
      <c r="C11705" s="4" t="n">
        <v>964</v>
      </c>
      <c r="D11705" s="4" t="n">
        <v>291.61</v>
      </c>
      <c r="E11705" s="5" t="n">
        <v>140</v>
      </c>
      <c r="F11705" s="3" t="inlineStr">
        <is>
          <t>장군면</t>
        </is>
      </c>
      <c r="G11705" s="3" t="inlineStr">
        <is>
          <t>산학리</t>
        </is>
      </c>
      <c r="H11705" s="3" t="inlineStr">
        <is>
          <t>농림지역</t>
        </is>
      </c>
      <c r="I11705" s="3" t="inlineStr">
        <is>
          <t>임야</t>
        </is>
      </c>
      <c r="J11705" s="3" t="inlineStr">
        <is>
          <t>장군면</t>
        </is>
      </c>
    </row>
    <row r="11706">
      <c r="A11706" s="3" t="n">
        <v>2023</v>
      </c>
      <c r="B11706" s="4" t="n">
        <v>19000</v>
      </c>
      <c r="C11706" s="4" t="n">
        <v>1693</v>
      </c>
      <c r="D11706" s="4" t="n">
        <v>512.1324999999999</v>
      </c>
      <c r="E11706" s="5" t="n">
        <v>37.1</v>
      </c>
      <c r="F11706" s="3" t="inlineStr">
        <is>
          <t>금남면</t>
        </is>
      </c>
      <c r="G11706" s="3" t="inlineStr">
        <is>
          <t>호탄리</t>
        </is>
      </c>
      <c r="H11706" s="3" t="inlineStr">
        <is>
          <t>개발제한구역</t>
        </is>
      </c>
      <c r="I11706" s="3" t="inlineStr">
        <is>
          <t>전</t>
        </is>
      </c>
      <c r="J11706" s="3" t="inlineStr">
        <is>
          <t>금남면</t>
        </is>
      </c>
    </row>
    <row r="11707">
      <c r="A11707" s="3" t="n">
        <v>2023</v>
      </c>
      <c r="B11707" s="4" t="n">
        <v>2500</v>
      </c>
      <c r="C11707" s="4" t="n">
        <v>3677</v>
      </c>
      <c r="D11707" s="4" t="n">
        <v>1112.2925</v>
      </c>
      <c r="E11707" s="5" t="n">
        <v>2.2</v>
      </c>
      <c r="F11707" s="3" t="inlineStr">
        <is>
          <t>금남면</t>
        </is>
      </c>
      <c r="G11707" s="3" t="inlineStr">
        <is>
          <t>호탄리</t>
        </is>
      </c>
      <c r="H11707" s="3" t="inlineStr">
        <is>
          <t>개발제한구역</t>
        </is>
      </c>
      <c r="I11707" s="3" t="inlineStr">
        <is>
          <t>임야</t>
        </is>
      </c>
      <c r="J11707" s="3" t="inlineStr">
        <is>
          <t>금남면</t>
        </is>
      </c>
    </row>
    <row r="11708">
      <c r="A11708" s="3" t="n">
        <v>2023</v>
      </c>
      <c r="B11708" s="4" t="n">
        <v>40664</v>
      </c>
      <c r="C11708" s="4" t="n">
        <v>950</v>
      </c>
      <c r="D11708" s="4" t="n">
        <v>287.375</v>
      </c>
      <c r="E11708" s="5" t="n">
        <v>141.5</v>
      </c>
      <c r="F11708" s="3" t="inlineStr">
        <is>
          <t>금남면</t>
        </is>
      </c>
      <c r="G11708" s="3" t="inlineStr">
        <is>
          <t>대박리</t>
        </is>
      </c>
      <c r="H11708" s="3" t="inlineStr">
        <is>
          <t>개발제한구역</t>
        </is>
      </c>
      <c r="I11708" s="3" t="inlineStr">
        <is>
          <t>주차장</t>
        </is>
      </c>
      <c r="J11708" s="3" t="inlineStr">
        <is>
          <t>금남면</t>
        </is>
      </c>
    </row>
    <row r="11709">
      <c r="A11709" s="3" t="n">
        <v>2023</v>
      </c>
      <c r="B11709" s="4" t="n">
        <v>6048</v>
      </c>
      <c r="C11709" s="4" t="n">
        <v>144</v>
      </c>
      <c r="D11709" s="4" t="n">
        <v>43.56</v>
      </c>
      <c r="E11709" s="5" t="n">
        <v>138.8</v>
      </c>
      <c r="F11709" s="3" t="inlineStr">
        <is>
          <t>금남면</t>
        </is>
      </c>
      <c r="G11709" s="3" t="inlineStr">
        <is>
          <t>대박리</t>
        </is>
      </c>
      <c r="H11709" s="3" t="inlineStr">
        <is>
          <t>제1종일반주거지역</t>
        </is>
      </c>
      <c r="I11709" s="3" t="inlineStr">
        <is>
          <t>전</t>
        </is>
      </c>
      <c r="J11709" s="3" t="inlineStr">
        <is>
          <t>금남면</t>
        </is>
      </c>
    </row>
    <row r="11710">
      <c r="A11710" s="3" t="n">
        <v>2023</v>
      </c>
      <c r="B11710" s="4" t="n">
        <v>840</v>
      </c>
      <c r="C11710" s="4" t="n">
        <v>20</v>
      </c>
      <c r="D11710" s="4" t="n">
        <v>6.05</v>
      </c>
      <c r="E11710" s="5" t="n">
        <v>138.8</v>
      </c>
      <c r="F11710" s="3" t="inlineStr">
        <is>
          <t>금남면</t>
        </is>
      </c>
      <c r="G11710" s="3" t="inlineStr">
        <is>
          <t>대박리</t>
        </is>
      </c>
      <c r="H11710" s="3" t="inlineStr">
        <is>
          <t>제1종일반주거지역</t>
        </is>
      </c>
      <c r="I11710" s="3" t="inlineStr">
        <is>
          <t>전</t>
        </is>
      </c>
      <c r="J11710" s="3" t="inlineStr">
        <is>
          <t>금남면</t>
        </is>
      </c>
    </row>
    <row r="11711">
      <c r="A11711" s="3" t="n">
        <v>2023</v>
      </c>
      <c r="B11711" s="4" t="n">
        <v>3948</v>
      </c>
      <c r="C11711" s="4" t="n">
        <v>94</v>
      </c>
      <c r="D11711" s="4" t="n">
        <v>28.435</v>
      </c>
      <c r="E11711" s="5" t="n">
        <v>138.8</v>
      </c>
      <c r="F11711" s="3" t="inlineStr">
        <is>
          <t>금남면</t>
        </is>
      </c>
      <c r="G11711" s="3" t="inlineStr">
        <is>
          <t>대박리</t>
        </is>
      </c>
      <c r="H11711" s="3" t="inlineStr">
        <is>
          <t>자연녹지지역</t>
        </is>
      </c>
      <c r="I11711" s="3" t="inlineStr">
        <is>
          <t>전</t>
        </is>
      </c>
      <c r="J11711" s="3" t="inlineStr">
        <is>
          <t>금남면</t>
        </is>
      </c>
    </row>
    <row r="11712">
      <c r="A11712" s="3" t="n">
        <v>2026</v>
      </c>
      <c r="B11712" s="4" t="n">
        <v>1830</v>
      </c>
      <c r="C11712" s="4" t="n">
        <v>1008</v>
      </c>
      <c r="D11712" s="4" t="n">
        <v>304.92</v>
      </c>
      <c r="E11712" s="5" t="n">
        <v>6</v>
      </c>
      <c r="F11712" s="3" t="inlineStr">
        <is>
          <t>유구읍</t>
        </is>
      </c>
      <c r="G11712" s="3" t="inlineStr">
        <is>
          <t>동해리</t>
        </is>
      </c>
      <c r="H11712" s="3" t="inlineStr">
        <is>
          <t>계획관리지역</t>
        </is>
      </c>
      <c r="I11712" s="3" t="inlineStr">
        <is>
          <t>전</t>
        </is>
      </c>
      <c r="J11712" s="3" t="inlineStr">
        <is>
          <t>유구읍</t>
        </is>
      </c>
    </row>
    <row r="11713">
      <c r="A11713" s="3" t="n">
        <v>2026</v>
      </c>
      <c r="B11713" s="4" t="n">
        <v>5044</v>
      </c>
      <c r="C11713" s="4" t="n">
        <v>1284</v>
      </c>
      <c r="D11713" s="4" t="n">
        <v>388.41</v>
      </c>
      <c r="E11713" s="5" t="n">
        <v>13</v>
      </c>
      <c r="F11713" s="3" t="inlineStr">
        <is>
          <t>유구읍</t>
        </is>
      </c>
      <c r="G11713" s="3" t="inlineStr">
        <is>
          <t>신영리</t>
        </is>
      </c>
      <c r="H11713" s="3" t="inlineStr">
        <is>
          <t>농림지역</t>
        </is>
      </c>
      <c r="I11713" s="3" t="inlineStr">
        <is>
          <t>답</t>
        </is>
      </c>
      <c r="J11713" s="3" t="inlineStr">
        <is>
          <t>유구읍</t>
        </is>
      </c>
    </row>
    <row r="11714">
      <c r="A11714" s="3" t="n">
        <v>2026</v>
      </c>
      <c r="B11714" s="4" t="n">
        <v>3000</v>
      </c>
      <c r="C11714" s="4" t="n">
        <v>355</v>
      </c>
      <c r="D11714" s="4" t="n">
        <v>107.3875</v>
      </c>
      <c r="E11714" s="5" t="n">
        <v>27.9</v>
      </c>
      <c r="F11714" s="3" t="inlineStr">
        <is>
          <t>유구읍</t>
        </is>
      </c>
      <c r="G11714" s="3" t="inlineStr">
        <is>
          <t>녹천리</t>
        </is>
      </c>
      <c r="H11714" s="3" t="inlineStr">
        <is>
          <t>자연녹지지역</t>
        </is>
      </c>
      <c r="I11714" s="3" t="inlineStr">
        <is>
          <t>대</t>
        </is>
      </c>
      <c r="J11714" s="3" t="inlineStr">
        <is>
          <t>유구읍</t>
        </is>
      </c>
    </row>
    <row r="11715">
      <c r="A11715" s="3" t="n">
        <v>2026</v>
      </c>
      <c r="B11715" s="4" t="n">
        <v>1305</v>
      </c>
      <c r="C11715" s="4" t="n">
        <v>97</v>
      </c>
      <c r="D11715" s="4" t="n">
        <v>29.3425</v>
      </c>
      <c r="E11715" s="5" t="n">
        <v>44.5</v>
      </c>
      <c r="F11715" s="3" t="inlineStr">
        <is>
          <t>유구읍</t>
        </is>
      </c>
      <c r="G11715" s="3" t="inlineStr">
        <is>
          <t>녹천리</t>
        </is>
      </c>
      <c r="H11715" s="3" t="inlineStr">
        <is>
          <t>준공업지역</t>
        </is>
      </c>
      <c r="I11715" s="3" t="inlineStr">
        <is>
          <t>대</t>
        </is>
      </c>
      <c r="J11715" s="3" t="inlineStr">
        <is>
          <t>유구읍</t>
        </is>
      </c>
    </row>
    <row r="11716">
      <c r="A11716" s="3" t="n">
        <v>2026</v>
      </c>
      <c r="B11716" s="4" t="n">
        <v>4700</v>
      </c>
      <c r="C11716" s="4" t="n">
        <v>2050</v>
      </c>
      <c r="D11716" s="4" t="n">
        <v>620.125</v>
      </c>
      <c r="E11716" s="5" t="n">
        <v>7.6</v>
      </c>
      <c r="F11716" s="3" t="inlineStr">
        <is>
          <t>유구읍</t>
        </is>
      </c>
      <c r="G11716" s="3" t="inlineStr">
        <is>
          <t>유구리</t>
        </is>
      </c>
      <c r="H11716" s="3" t="inlineStr">
        <is>
          <t>계획관리지역</t>
        </is>
      </c>
      <c r="I11716" s="3" t="inlineStr">
        <is>
          <t>전</t>
        </is>
      </c>
      <c r="J11716" s="3" t="inlineStr">
        <is>
          <t>유구읍</t>
        </is>
      </c>
    </row>
    <row r="11717">
      <c r="A11717" s="3" t="n">
        <v>2026</v>
      </c>
      <c r="B11717" s="4" t="n">
        <v>810</v>
      </c>
      <c r="C11717" s="4" t="n">
        <v>268</v>
      </c>
      <c r="D11717" s="4" t="n">
        <v>81.06999999999999</v>
      </c>
      <c r="E11717" s="5" t="n">
        <v>10</v>
      </c>
      <c r="F11717" s="3" t="inlineStr">
        <is>
          <t>유구읍</t>
        </is>
      </c>
      <c r="G11717" s="3" t="inlineStr">
        <is>
          <t>입석리</t>
        </is>
      </c>
      <c r="H11717" s="3" t="inlineStr">
        <is>
          <t>계획관리지역</t>
        </is>
      </c>
      <c r="I11717" s="3" t="inlineStr">
        <is>
          <t>대</t>
        </is>
      </c>
      <c r="J11717" s="3" t="inlineStr">
        <is>
          <t>유구읍</t>
        </is>
      </c>
    </row>
    <row r="11718">
      <c r="A11718" s="3" t="n">
        <v>2026</v>
      </c>
      <c r="B11718" s="4" t="n">
        <v>1230</v>
      </c>
      <c r="C11718" s="4" t="n">
        <v>407</v>
      </c>
      <c r="D11718" s="4" t="n">
        <v>123.1175</v>
      </c>
      <c r="E11718" s="5" t="n">
        <v>10</v>
      </c>
      <c r="F11718" s="3" t="inlineStr">
        <is>
          <t>유구읍</t>
        </is>
      </c>
      <c r="G11718" s="3" t="inlineStr">
        <is>
          <t>입석리</t>
        </is>
      </c>
      <c r="H11718" s="3" t="inlineStr">
        <is>
          <t>계획관리지역</t>
        </is>
      </c>
      <c r="I11718" s="3" t="inlineStr">
        <is>
          <t>전</t>
        </is>
      </c>
      <c r="J11718" s="3" t="inlineStr">
        <is>
          <t>유구읍</t>
        </is>
      </c>
    </row>
    <row r="11719">
      <c r="A11719" s="3" t="n">
        <v>2026</v>
      </c>
      <c r="B11719" s="4" t="n">
        <v>6900</v>
      </c>
      <c r="C11719" s="4" t="n">
        <v>593</v>
      </c>
      <c r="D11719" s="4" t="n">
        <v>179.3825</v>
      </c>
      <c r="E11719" s="5" t="n">
        <v>38.5</v>
      </c>
      <c r="F11719" s="3" t="inlineStr">
        <is>
          <t>유구읍</t>
        </is>
      </c>
      <c r="G11719" s="3" t="inlineStr">
        <is>
          <t>녹천리</t>
        </is>
      </c>
      <c r="H11719" s="3" t="inlineStr">
        <is>
          <t>계획관리지역</t>
        </is>
      </c>
      <c r="I11719" s="3" t="inlineStr">
        <is>
          <t>임야</t>
        </is>
      </c>
      <c r="J11719" s="3" t="inlineStr">
        <is>
          <t>유구읍</t>
        </is>
      </c>
    </row>
    <row r="11720">
      <c r="A11720" s="3" t="n">
        <v>2026</v>
      </c>
      <c r="B11720" s="4" t="n">
        <v>11370</v>
      </c>
      <c r="C11720" s="4" t="n">
        <v>1253</v>
      </c>
      <c r="D11720" s="4" t="n">
        <v>379.0325</v>
      </c>
      <c r="E11720" s="5" t="n">
        <v>30</v>
      </c>
      <c r="F11720" s="3" t="inlineStr">
        <is>
          <t>전동면</t>
        </is>
      </c>
      <c r="G11720" s="3" t="inlineStr">
        <is>
          <t>봉대리</t>
        </is>
      </c>
      <c r="H11720" s="3" t="inlineStr">
        <is>
          <t>생산관리지역</t>
        </is>
      </c>
      <c r="I11720" s="3" t="inlineStr">
        <is>
          <t>답</t>
        </is>
      </c>
      <c r="J11720" s="3" t="inlineStr">
        <is>
          <t>전동면</t>
        </is>
      </c>
    </row>
    <row r="11721">
      <c r="A11721" s="3" t="n">
        <v>2026</v>
      </c>
      <c r="B11721" s="4" t="n">
        <v>6762</v>
      </c>
      <c r="C11721" s="4" t="n">
        <v>992</v>
      </c>
      <c r="D11721" s="4" t="n">
        <v>300.08</v>
      </c>
      <c r="E11721" s="5" t="n">
        <v>22.5</v>
      </c>
      <c r="F11721" s="3" t="inlineStr">
        <is>
          <t>연기면</t>
        </is>
      </c>
      <c r="G11721" s="3" t="inlineStr">
        <is>
          <t>수산리</t>
        </is>
      </c>
      <c r="H11721" s="3" t="inlineStr">
        <is>
          <t>보전관리지역</t>
        </is>
      </c>
      <c r="I11721" s="3" t="inlineStr">
        <is>
          <t>임야</t>
        </is>
      </c>
      <c r="J11721" s="3" t="inlineStr">
        <is>
          <t>연기면</t>
        </is>
      </c>
    </row>
    <row r="11722">
      <c r="A11722" s="3" t="n">
        <v>2026</v>
      </c>
      <c r="B11722" s="4" t="n">
        <v>4311</v>
      </c>
      <c r="C11722" s="4" t="n">
        <v>233</v>
      </c>
      <c r="D11722" s="4" t="n">
        <v>70.4825</v>
      </c>
      <c r="E11722" s="5" t="n">
        <v>61.2</v>
      </c>
      <c r="F11722" s="3" t="inlineStr">
        <is>
          <t>부강면</t>
        </is>
      </c>
      <c r="G11722" s="3" t="inlineStr">
        <is>
          <t>문곡리</t>
        </is>
      </c>
      <c r="H11722" s="3" t="inlineStr">
        <is>
          <t>계획관리지역</t>
        </is>
      </c>
      <c r="I11722" s="3" t="inlineStr">
        <is>
          <t>전</t>
        </is>
      </c>
      <c r="J11722" s="3" t="inlineStr">
        <is>
          <t>부강면</t>
        </is>
      </c>
    </row>
    <row r="11723">
      <c r="A11723" s="3" t="n">
        <v>2026</v>
      </c>
      <c r="B11723" s="4" t="n">
        <v>6469</v>
      </c>
      <c r="C11723" s="4" t="n">
        <v>652</v>
      </c>
      <c r="D11723" s="4" t="n">
        <v>197.23</v>
      </c>
      <c r="E11723" s="5" t="n">
        <v>32.8</v>
      </c>
      <c r="F11723" s="3" t="inlineStr">
        <is>
          <t>부강면</t>
        </is>
      </c>
      <c r="G11723" s="3" t="inlineStr">
        <is>
          <t>문곡리</t>
        </is>
      </c>
      <c r="H11723" s="3" t="inlineStr">
        <is>
          <t>계획관리지역</t>
        </is>
      </c>
      <c r="I11723" s="3" t="inlineStr">
        <is>
          <t>전</t>
        </is>
      </c>
      <c r="J11723" s="3" t="inlineStr">
        <is>
          <t>부강면</t>
        </is>
      </c>
    </row>
    <row r="11724">
      <c r="A11724" s="3" t="n">
        <v>2026</v>
      </c>
      <c r="B11724" s="4" t="n">
        <v>220</v>
      </c>
      <c r="C11724" s="4" t="n">
        <v>22</v>
      </c>
      <c r="D11724" s="4" t="n">
        <v>6.654999999999999</v>
      </c>
      <c r="E11724" s="5" t="n">
        <v>33.1</v>
      </c>
      <c r="F11724" s="3" t="inlineStr">
        <is>
          <t>부강면</t>
        </is>
      </c>
      <c r="G11724" s="3" t="inlineStr">
        <is>
          <t>문곡리</t>
        </is>
      </c>
      <c r="H11724" s="3" t="inlineStr">
        <is>
          <t>계획관리지역</t>
        </is>
      </c>
      <c r="I11724" s="3" t="inlineStr">
        <is>
          <t>전</t>
        </is>
      </c>
      <c r="J11724" s="3" t="inlineStr">
        <is>
          <t>부강면</t>
        </is>
      </c>
    </row>
    <row r="11725">
      <c r="A11725" s="3" t="n">
        <v>2026</v>
      </c>
      <c r="B11725" s="4" t="n">
        <v>28000</v>
      </c>
      <c r="C11725" s="4" t="n">
        <v>1775</v>
      </c>
      <c r="D11725" s="4" t="n">
        <v>536.9375</v>
      </c>
      <c r="E11725" s="5" t="n">
        <v>52.1</v>
      </c>
      <c r="F11725" s="3" t="inlineStr">
        <is>
          <t>금남면</t>
        </is>
      </c>
      <c r="G11725" s="3" t="inlineStr">
        <is>
          <t>장재리</t>
        </is>
      </c>
      <c r="H11725" s="3" t="inlineStr">
        <is>
          <t>개발제한구역</t>
        </is>
      </c>
      <c r="I11725" s="3" t="inlineStr">
        <is>
          <t>답</t>
        </is>
      </c>
      <c r="J11725" s="3" t="inlineStr">
        <is>
          <t>금남면</t>
        </is>
      </c>
    </row>
    <row r="11726">
      <c r="A11726" s="3" t="n">
        <v>2026</v>
      </c>
      <c r="B11726" s="4" t="n">
        <v>18100</v>
      </c>
      <c r="C11726" s="4" t="n">
        <v>2005</v>
      </c>
      <c r="D11726" s="4" t="n">
        <v>606.5124999999999</v>
      </c>
      <c r="E11726" s="5" t="n">
        <v>29.8</v>
      </c>
      <c r="F11726" s="3" t="inlineStr">
        <is>
          <t>전동면</t>
        </is>
      </c>
      <c r="G11726" s="3" t="inlineStr">
        <is>
          <t>송곡리</t>
        </is>
      </c>
      <c r="H11726" s="3" t="inlineStr">
        <is>
          <t>농림지역</t>
        </is>
      </c>
      <c r="I11726" s="3" t="inlineStr">
        <is>
          <t>답</t>
        </is>
      </c>
      <c r="J11726" s="3" t="inlineStr">
        <is>
          <t>전동면</t>
        </is>
      </c>
    </row>
    <row r="11727">
      <c r="A11727" s="3" t="n">
        <v>2026</v>
      </c>
      <c r="B11727" s="4" t="n">
        <v>50200</v>
      </c>
      <c r="C11727" s="4" t="n">
        <v>2397.7</v>
      </c>
      <c r="D11727" s="4" t="n">
        <v>725.3042499999999</v>
      </c>
      <c r="E11727" s="5" t="n">
        <v>69.2</v>
      </c>
      <c r="F11727" s="3" t="inlineStr">
        <is>
          <t>연서면</t>
        </is>
      </c>
      <c r="G11727" s="3" t="inlineStr">
        <is>
          <t>쌍전리</t>
        </is>
      </c>
      <c r="H11727" s="3" t="inlineStr">
        <is>
          <t>농림지역</t>
        </is>
      </c>
      <c r="I11727" s="3" t="inlineStr">
        <is>
          <t>답</t>
        </is>
      </c>
      <c r="J11727" s="3" t="inlineStr">
        <is>
          <t>연서면</t>
        </is>
      </c>
    </row>
    <row r="11728">
      <c r="A11728" s="3" t="n">
        <v>2026</v>
      </c>
      <c r="B11728" s="4" t="n">
        <v>16800</v>
      </c>
      <c r="C11728" s="4" t="n">
        <v>1851</v>
      </c>
      <c r="D11728" s="4" t="n">
        <v>559.9275</v>
      </c>
      <c r="E11728" s="5" t="n">
        <v>30</v>
      </c>
      <c r="F11728" s="3" t="inlineStr">
        <is>
          <t>전동면</t>
        </is>
      </c>
      <c r="G11728" s="3" t="inlineStr">
        <is>
          <t>봉대리</t>
        </is>
      </c>
      <c r="H11728" s="3" t="inlineStr">
        <is>
          <t>생산관리지역</t>
        </is>
      </c>
      <c r="I11728" s="3" t="inlineStr">
        <is>
          <t>답</t>
        </is>
      </c>
      <c r="J11728" s="3" t="inlineStr">
        <is>
          <t>전동면</t>
        </is>
      </c>
    </row>
    <row r="11729">
      <c r="A11729" s="3" t="n">
        <v>2026</v>
      </c>
      <c r="B11729" s="4" t="n">
        <v>14720</v>
      </c>
      <c r="C11729" s="4" t="n">
        <v>1623</v>
      </c>
      <c r="D11729" s="4" t="n">
        <v>490.9575</v>
      </c>
      <c r="E11729" s="5" t="n">
        <v>30</v>
      </c>
      <c r="F11729" s="3" t="inlineStr">
        <is>
          <t>전동면</t>
        </is>
      </c>
      <c r="G11729" s="3" t="inlineStr">
        <is>
          <t>송성리</t>
        </is>
      </c>
      <c r="H11729" s="3" t="inlineStr">
        <is>
          <t>계획관리지역</t>
        </is>
      </c>
      <c r="I11729" s="3" t="inlineStr">
        <is>
          <t>전</t>
        </is>
      </c>
      <c r="J11729" s="3" t="inlineStr">
        <is>
          <t>전동면</t>
        </is>
      </c>
    </row>
    <row r="11730">
      <c r="A11730" s="3" t="n">
        <v>2026</v>
      </c>
      <c r="B11730" s="4" t="n">
        <v>71000</v>
      </c>
      <c r="C11730" s="4" t="n">
        <v>501.3</v>
      </c>
      <c r="D11730" s="4" t="n">
        <v>151.64325</v>
      </c>
      <c r="E11730" s="5" t="n">
        <v>468.2</v>
      </c>
      <c r="F11730" s="3" t="inlineStr">
        <is>
          <t>고운동</t>
        </is>
      </c>
      <c r="G11730" s="3" t="inlineStr"/>
      <c r="H11730" s="3" t="inlineStr">
        <is>
          <t>제1종전용주거지역</t>
        </is>
      </c>
      <c r="I11730" s="3" t="inlineStr">
        <is>
          <t>대</t>
        </is>
      </c>
      <c r="J11730" s="3" t="inlineStr">
        <is>
          <t>고운동</t>
        </is>
      </c>
    </row>
    <row r="11731">
      <c r="A11731" s="3" t="n">
        <v>2026</v>
      </c>
      <c r="B11731" s="4" t="n">
        <v>3183</v>
      </c>
      <c r="C11731" s="4" t="n">
        <v>346</v>
      </c>
      <c r="D11731" s="4" t="n">
        <v>104.665</v>
      </c>
      <c r="E11731" s="5" t="n">
        <v>30.4</v>
      </c>
      <c r="F11731" s="3" t="inlineStr">
        <is>
          <t>연서면</t>
        </is>
      </c>
      <c r="G11731" s="3" t="inlineStr">
        <is>
          <t>쌍류리</t>
        </is>
      </c>
      <c r="H11731" s="3" t="inlineStr">
        <is>
          <t>보전관리지역</t>
        </is>
      </c>
      <c r="I11731" s="3" t="inlineStr">
        <is>
          <t>전</t>
        </is>
      </c>
      <c r="J11731" s="3" t="inlineStr">
        <is>
          <t>연서면</t>
        </is>
      </c>
    </row>
    <row r="11732">
      <c r="A11732" s="3" t="n">
        <v>2026</v>
      </c>
      <c r="B11732" s="4" t="n">
        <v>5810</v>
      </c>
      <c r="C11732" s="4" t="n">
        <v>642</v>
      </c>
      <c r="D11732" s="4" t="n">
        <v>194.205</v>
      </c>
      <c r="E11732" s="5" t="n">
        <v>29.9</v>
      </c>
      <c r="F11732" s="3" t="inlineStr">
        <is>
          <t>전의면</t>
        </is>
      </c>
      <c r="G11732" s="3" t="inlineStr">
        <is>
          <t>신정리</t>
        </is>
      </c>
      <c r="H11732" s="3" t="inlineStr">
        <is>
          <t>생산관리지역</t>
        </is>
      </c>
      <c r="I11732" s="3" t="inlineStr">
        <is>
          <t>잡종지</t>
        </is>
      </c>
      <c r="J11732" s="3" t="inlineStr">
        <is>
          <t>전의면</t>
        </is>
      </c>
    </row>
    <row r="11733">
      <c r="A11733" s="3" t="n">
        <v>2026</v>
      </c>
      <c r="B11733" s="4" t="n">
        <v>36858</v>
      </c>
      <c r="C11733" s="4" t="n">
        <v>1021</v>
      </c>
      <c r="D11733" s="4" t="n">
        <v>308.8525</v>
      </c>
      <c r="E11733" s="5" t="n">
        <v>119.3</v>
      </c>
      <c r="F11733" s="3" t="inlineStr">
        <is>
          <t>연서면</t>
        </is>
      </c>
      <c r="G11733" s="3" t="inlineStr">
        <is>
          <t>쌍류리</t>
        </is>
      </c>
      <c r="H11733" s="3" t="inlineStr">
        <is>
          <t>계획관리지역</t>
        </is>
      </c>
      <c r="I11733" s="3" t="inlineStr">
        <is>
          <t>대</t>
        </is>
      </c>
      <c r="J11733" s="3" t="inlineStr">
        <is>
          <t>연서면</t>
        </is>
      </c>
    </row>
    <row r="11734">
      <c r="A11734" s="3" t="n">
        <v>2026</v>
      </c>
      <c r="B11734" s="4" t="n">
        <v>1499</v>
      </c>
      <c r="C11734" s="4" t="n">
        <v>102</v>
      </c>
      <c r="D11734" s="4" t="n">
        <v>30.855</v>
      </c>
      <c r="E11734" s="5" t="n">
        <v>48.6</v>
      </c>
      <c r="F11734" s="3" t="inlineStr">
        <is>
          <t>연서면</t>
        </is>
      </c>
      <c r="G11734" s="3" t="inlineStr">
        <is>
          <t>쌍류리</t>
        </is>
      </c>
      <c r="H11734" s="3" t="inlineStr">
        <is>
          <t>계획관리지역</t>
        </is>
      </c>
      <c r="I11734" s="3" t="inlineStr">
        <is>
          <t>임야</t>
        </is>
      </c>
      <c r="J11734" s="3" t="inlineStr">
        <is>
          <t>연서면</t>
        </is>
      </c>
    </row>
    <row r="11735">
      <c r="A11735" s="3" t="n">
        <v>2026</v>
      </c>
      <c r="B11735" s="4" t="n">
        <v>53713</v>
      </c>
      <c r="C11735" s="4" t="n">
        <v>4710</v>
      </c>
      <c r="D11735" s="4" t="n">
        <v>1424.775</v>
      </c>
      <c r="E11735" s="5" t="n">
        <v>37.7</v>
      </c>
      <c r="F11735" s="3" t="inlineStr">
        <is>
          <t>연서면</t>
        </is>
      </c>
      <c r="G11735" s="3" t="inlineStr">
        <is>
          <t>쌍류리</t>
        </is>
      </c>
      <c r="H11735" s="3" t="inlineStr">
        <is>
          <t>계획관리지역</t>
        </is>
      </c>
      <c r="I11735" s="3" t="inlineStr">
        <is>
          <t>임야</t>
        </is>
      </c>
      <c r="J11735" s="3" t="inlineStr">
        <is>
          <t>연서면</t>
        </is>
      </c>
    </row>
    <row r="11736">
      <c r="A11736" s="3" t="n">
        <v>2026</v>
      </c>
      <c r="B11736" s="4" t="n">
        <v>70000</v>
      </c>
      <c r="C11736" s="4" t="n">
        <v>1157</v>
      </c>
      <c r="D11736" s="4" t="n">
        <v>349.9925</v>
      </c>
      <c r="E11736" s="5" t="n">
        <v>200</v>
      </c>
      <c r="F11736" s="3" t="inlineStr">
        <is>
          <t>연서면</t>
        </is>
      </c>
      <c r="G11736" s="3" t="inlineStr">
        <is>
          <t>와촌리</t>
        </is>
      </c>
      <c r="H11736" s="3" t="inlineStr">
        <is>
          <t>생산관리지역</t>
        </is>
      </c>
      <c r="I11736" s="3" t="inlineStr">
        <is>
          <t>답</t>
        </is>
      </c>
      <c r="J11736" s="3" t="inlineStr">
        <is>
          <t>연서면</t>
        </is>
      </c>
    </row>
    <row r="11737">
      <c r="A11737" s="3" t="n">
        <v>2026</v>
      </c>
      <c r="B11737" s="4" t="n">
        <v>6600</v>
      </c>
      <c r="C11737" s="4" t="n">
        <v>359</v>
      </c>
      <c r="D11737" s="4" t="n">
        <v>108.5975</v>
      </c>
      <c r="E11737" s="5" t="n">
        <v>60.8</v>
      </c>
      <c r="F11737" s="3" t="inlineStr">
        <is>
          <t>금남면</t>
        </is>
      </c>
      <c r="G11737" s="3" t="inlineStr">
        <is>
          <t>영대리</t>
        </is>
      </c>
      <c r="H11737" s="3" t="inlineStr">
        <is>
          <t>개발제한구역</t>
        </is>
      </c>
      <c r="I11737" s="3" t="inlineStr">
        <is>
          <t>전</t>
        </is>
      </c>
      <c r="J11737" s="3" t="inlineStr">
        <is>
          <t>금남면</t>
        </is>
      </c>
    </row>
    <row r="11738">
      <c r="A11738" s="3" t="n">
        <v>2026</v>
      </c>
      <c r="B11738" s="4" t="n">
        <v>6800</v>
      </c>
      <c r="C11738" s="4" t="n">
        <v>341</v>
      </c>
      <c r="D11738" s="4" t="n">
        <v>103.1525</v>
      </c>
      <c r="E11738" s="5" t="n">
        <v>65.90000000000001</v>
      </c>
      <c r="F11738" s="3" t="inlineStr">
        <is>
          <t>전동면</t>
        </is>
      </c>
      <c r="G11738" s="3" t="inlineStr">
        <is>
          <t>심중리</t>
        </is>
      </c>
      <c r="H11738" s="3" t="inlineStr">
        <is>
          <t>계획관리지역</t>
        </is>
      </c>
      <c r="I11738" s="3" t="inlineStr">
        <is>
          <t>전</t>
        </is>
      </c>
      <c r="J11738" s="3" t="inlineStr">
        <is>
          <t>전동면</t>
        </is>
      </c>
    </row>
    <row r="11739">
      <c r="A11739" s="3" t="n">
        <v>2026</v>
      </c>
      <c r="B11739" s="4" t="n">
        <v>3700</v>
      </c>
      <c r="C11739" s="4" t="n">
        <v>3162</v>
      </c>
      <c r="D11739" s="4" t="n">
        <v>956.505</v>
      </c>
      <c r="E11739" s="5" t="n">
        <v>3.9</v>
      </c>
      <c r="F11739" s="3" t="inlineStr">
        <is>
          <t>금남면</t>
        </is>
      </c>
      <c r="G11739" s="3" t="inlineStr">
        <is>
          <t>축산리</t>
        </is>
      </c>
      <c r="H11739" s="3" t="inlineStr">
        <is>
          <t>자연녹지지역</t>
        </is>
      </c>
      <c r="I11739" s="3" t="inlineStr">
        <is>
          <t>임야</t>
        </is>
      </c>
      <c r="J11739" s="3" t="inlineStr">
        <is>
          <t>금남면</t>
        </is>
      </c>
    </row>
    <row r="11740">
      <c r="A11740" s="3" t="n">
        <v>2026</v>
      </c>
      <c r="B11740" s="4" t="n">
        <v>3500</v>
      </c>
      <c r="C11740" s="4" t="n">
        <v>66</v>
      </c>
      <c r="D11740" s="4" t="n">
        <v>19.965</v>
      </c>
      <c r="E11740" s="5" t="n">
        <v>175.3</v>
      </c>
      <c r="F11740" s="3" t="inlineStr">
        <is>
          <t>조치원읍</t>
        </is>
      </c>
      <c r="G11740" s="3" t="inlineStr">
        <is>
          <t>남리</t>
        </is>
      </c>
      <c r="H11740" s="3" t="inlineStr">
        <is>
          <t>제2종일반주거지역</t>
        </is>
      </c>
      <c r="I11740" s="3" t="inlineStr">
        <is>
          <t>대</t>
        </is>
      </c>
      <c r="J11740" s="3" t="inlineStr">
        <is>
          <t>조치원읍</t>
        </is>
      </c>
    </row>
    <row r="11741">
      <c r="A11741" s="3" t="n">
        <v>2026</v>
      </c>
      <c r="B11741" s="4" t="n">
        <v>18376</v>
      </c>
      <c r="C11741" s="4" t="n">
        <v>1947</v>
      </c>
      <c r="D11741" s="4" t="n">
        <v>588.9675</v>
      </c>
      <c r="E11741" s="5" t="n">
        <v>31.2</v>
      </c>
      <c r="F11741" s="3" t="inlineStr">
        <is>
          <t>전의면</t>
        </is>
      </c>
      <c r="G11741" s="3" t="inlineStr">
        <is>
          <t>신정리</t>
        </is>
      </c>
      <c r="H11741" s="3" t="inlineStr">
        <is>
          <t>생산관리지역</t>
        </is>
      </c>
      <c r="I11741" s="3" t="inlineStr">
        <is>
          <t>전</t>
        </is>
      </c>
      <c r="J11741" s="3" t="inlineStr">
        <is>
          <t>전의면</t>
        </is>
      </c>
    </row>
    <row r="11742">
      <c r="A11742" s="3" t="n">
        <v>2026</v>
      </c>
      <c r="B11742" s="4" t="n">
        <v>17000</v>
      </c>
      <c r="C11742" s="4" t="n">
        <v>1297</v>
      </c>
      <c r="D11742" s="4" t="n">
        <v>392.3425</v>
      </c>
      <c r="E11742" s="5" t="n">
        <v>43.3</v>
      </c>
      <c r="F11742" s="3" t="inlineStr">
        <is>
          <t>전의면</t>
        </is>
      </c>
      <c r="G11742" s="3" t="inlineStr">
        <is>
          <t>동교리</t>
        </is>
      </c>
      <c r="H11742" s="3" t="inlineStr">
        <is>
          <t>계획관리지역</t>
        </is>
      </c>
      <c r="I11742" s="3" t="inlineStr">
        <is>
          <t>전</t>
        </is>
      </c>
      <c r="J11742" s="3" t="inlineStr">
        <is>
          <t>전의면</t>
        </is>
      </c>
    </row>
    <row r="11743">
      <c r="A11743" s="3" t="n">
        <v>2026</v>
      </c>
      <c r="B11743" s="4" t="n">
        <v>6800</v>
      </c>
      <c r="C11743" s="4" t="n">
        <v>341</v>
      </c>
      <c r="D11743" s="4" t="n">
        <v>103.1525</v>
      </c>
      <c r="E11743" s="5" t="n">
        <v>65.90000000000001</v>
      </c>
      <c r="F11743" s="3" t="inlineStr">
        <is>
          <t>전동면</t>
        </is>
      </c>
      <c r="G11743" s="3" t="inlineStr">
        <is>
          <t>심중리</t>
        </is>
      </c>
      <c r="H11743" s="3" t="inlineStr">
        <is>
          <t>계획관리지역</t>
        </is>
      </c>
      <c r="I11743" s="3" t="inlineStr">
        <is>
          <t>전</t>
        </is>
      </c>
      <c r="J11743" s="3" t="inlineStr">
        <is>
          <t>전동면</t>
        </is>
      </c>
    </row>
    <row r="11744">
      <c r="A11744" s="3" t="n">
        <v>2026</v>
      </c>
      <c r="B11744" s="4" t="n">
        <v>55000</v>
      </c>
      <c r="C11744" s="4" t="n">
        <v>649</v>
      </c>
      <c r="D11744" s="4" t="n">
        <v>196.3225</v>
      </c>
      <c r="E11744" s="5" t="n">
        <v>280.2</v>
      </c>
      <c r="F11744" s="3" t="inlineStr">
        <is>
          <t>부강면</t>
        </is>
      </c>
      <c r="G11744" s="3" t="inlineStr">
        <is>
          <t>부강리</t>
        </is>
      </c>
      <c r="H11744" s="3" t="inlineStr">
        <is>
          <t>제2종일반주거지역</t>
        </is>
      </c>
      <c r="I11744" s="3" t="inlineStr">
        <is>
          <t>답</t>
        </is>
      </c>
      <c r="J11744" s="3" t="inlineStr">
        <is>
          <t>부강면</t>
        </is>
      </c>
    </row>
    <row r="11745">
      <c r="A11745" s="3" t="n">
        <v>2026</v>
      </c>
      <c r="B11745" s="4" t="n">
        <v>50000</v>
      </c>
      <c r="C11745" s="4" t="n">
        <v>312</v>
      </c>
      <c r="D11745" s="4" t="n">
        <v>94.38</v>
      </c>
      <c r="E11745" s="5" t="n">
        <v>529.8</v>
      </c>
      <c r="F11745" s="3" t="inlineStr">
        <is>
          <t>조치원읍</t>
        </is>
      </c>
      <c r="G11745" s="3" t="inlineStr">
        <is>
          <t>서창리</t>
        </is>
      </c>
      <c r="H11745" s="3" t="inlineStr">
        <is>
          <t>제2종일반주거지역</t>
        </is>
      </c>
      <c r="I11745" s="3" t="inlineStr">
        <is>
          <t>임야</t>
        </is>
      </c>
      <c r="J11745" s="3" t="inlineStr">
        <is>
          <t>조치원읍</t>
        </is>
      </c>
    </row>
    <row r="11746">
      <c r="A11746" s="3" t="n">
        <v>2026</v>
      </c>
      <c r="B11746" s="4" t="n">
        <v>1500</v>
      </c>
      <c r="C11746" s="4" t="n">
        <v>992</v>
      </c>
      <c r="D11746" s="4" t="n">
        <v>300.08</v>
      </c>
      <c r="E11746" s="5" t="n">
        <v>5</v>
      </c>
      <c r="F11746" s="3" t="inlineStr">
        <is>
          <t>연기면</t>
        </is>
      </c>
      <c r="G11746" s="3" t="inlineStr">
        <is>
          <t>수산리</t>
        </is>
      </c>
      <c r="H11746" s="3" t="inlineStr">
        <is>
          <t>보전관리지역</t>
        </is>
      </c>
      <c r="I11746" s="3" t="inlineStr">
        <is>
          <t>임야</t>
        </is>
      </c>
      <c r="J11746" s="3" t="inlineStr">
        <is>
          <t>연기면</t>
        </is>
      </c>
    </row>
    <row r="11747">
      <c r="A11747" s="3" t="n">
        <v>2026</v>
      </c>
      <c r="B11747" s="4" t="n">
        <v>103000</v>
      </c>
      <c r="C11747" s="4" t="n">
        <v>2209</v>
      </c>
      <c r="D11747" s="4" t="n">
        <v>668.2225</v>
      </c>
      <c r="E11747" s="5" t="n">
        <v>154.1</v>
      </c>
      <c r="F11747" s="3" t="inlineStr">
        <is>
          <t>부강면</t>
        </is>
      </c>
      <c r="G11747" s="3" t="inlineStr">
        <is>
          <t>산수리</t>
        </is>
      </c>
      <c r="H11747" s="3" t="inlineStr">
        <is>
          <t>계획관리지역</t>
        </is>
      </c>
      <c r="I11747" s="3" t="inlineStr">
        <is>
          <t>공장용지</t>
        </is>
      </c>
      <c r="J11747" s="3" t="inlineStr">
        <is>
          <t>부강면</t>
        </is>
      </c>
    </row>
    <row r="11748">
      <c r="A11748" s="3" t="n">
        <v>2026</v>
      </c>
      <c r="B11748" s="4" t="n">
        <v>6362</v>
      </c>
      <c r="C11748" s="4" t="n">
        <v>99</v>
      </c>
      <c r="D11748" s="4" t="n">
        <v>29.9475</v>
      </c>
      <c r="E11748" s="5" t="n">
        <v>212.4</v>
      </c>
      <c r="F11748" s="3" t="inlineStr">
        <is>
          <t>연기면</t>
        </is>
      </c>
      <c r="G11748" s="3" t="inlineStr">
        <is>
          <t>연기리</t>
        </is>
      </c>
      <c r="H11748" s="3" t="inlineStr">
        <is>
          <t>계획관리지역</t>
        </is>
      </c>
      <c r="I11748" s="3" t="inlineStr">
        <is>
          <t>전</t>
        </is>
      </c>
      <c r="J11748" s="3" t="inlineStr">
        <is>
          <t>연기면</t>
        </is>
      </c>
    </row>
    <row r="11749">
      <c r="A11749" s="3" t="n">
        <v>2026</v>
      </c>
      <c r="B11749" s="4" t="n">
        <v>8482</v>
      </c>
      <c r="C11749" s="4" t="n">
        <v>132</v>
      </c>
      <c r="D11749" s="4" t="n">
        <v>39.93</v>
      </c>
      <c r="E11749" s="5" t="n">
        <v>212.4</v>
      </c>
      <c r="F11749" s="3" t="inlineStr">
        <is>
          <t>연기면</t>
        </is>
      </c>
      <c r="G11749" s="3" t="inlineStr">
        <is>
          <t>연기리</t>
        </is>
      </c>
      <c r="H11749" s="3" t="inlineStr">
        <is>
          <t>계획관리지역</t>
        </is>
      </c>
      <c r="I11749" s="3" t="inlineStr">
        <is>
          <t>전</t>
        </is>
      </c>
      <c r="J11749" s="3" t="inlineStr">
        <is>
          <t>연기면</t>
        </is>
      </c>
    </row>
    <row r="11750">
      <c r="A11750" s="3" t="n">
        <v>2026</v>
      </c>
      <c r="B11750" s="4" t="n">
        <v>16320</v>
      </c>
      <c r="C11750" s="4" t="n">
        <v>2350</v>
      </c>
      <c r="D11750" s="4" t="n">
        <v>710.875</v>
      </c>
      <c r="E11750" s="5" t="n">
        <v>23</v>
      </c>
      <c r="F11750" s="3" t="inlineStr">
        <is>
          <t>전동면</t>
        </is>
      </c>
      <c r="G11750" s="3" t="inlineStr">
        <is>
          <t>노장리</t>
        </is>
      </c>
      <c r="H11750" s="3" t="inlineStr">
        <is>
          <t>농림지역</t>
        </is>
      </c>
      <c r="I11750" s="3" t="inlineStr">
        <is>
          <t>답</t>
        </is>
      </c>
      <c r="J11750" s="3" t="inlineStr">
        <is>
          <t>전동면</t>
        </is>
      </c>
    </row>
    <row r="11751">
      <c r="A11751" s="3" t="n">
        <v>2026</v>
      </c>
      <c r="B11751" s="4" t="n">
        <v>13681</v>
      </c>
      <c r="C11751" s="4" t="n">
        <v>1970</v>
      </c>
      <c r="D11751" s="4" t="n">
        <v>595.925</v>
      </c>
      <c r="E11751" s="5" t="n">
        <v>23</v>
      </c>
      <c r="F11751" s="3" t="inlineStr">
        <is>
          <t>전동면</t>
        </is>
      </c>
      <c r="G11751" s="3" t="inlineStr">
        <is>
          <t>노장리</t>
        </is>
      </c>
      <c r="H11751" s="3" t="inlineStr">
        <is>
          <t>농림지역</t>
        </is>
      </c>
      <c r="I11751" s="3" t="inlineStr">
        <is>
          <t>답</t>
        </is>
      </c>
      <c r="J11751" s="3" t="inlineStr">
        <is>
          <t>전동면</t>
        </is>
      </c>
    </row>
    <row r="11752">
      <c r="A11752" s="3" t="n">
        <v>2026</v>
      </c>
      <c r="B11752" s="4" t="n">
        <v>30000</v>
      </c>
      <c r="C11752" s="4" t="n">
        <v>4263</v>
      </c>
      <c r="D11752" s="4" t="n">
        <v>1289.5575</v>
      </c>
      <c r="E11752" s="5" t="n">
        <v>23.3</v>
      </c>
      <c r="F11752" s="3" t="inlineStr">
        <is>
          <t>전의면</t>
        </is>
      </c>
      <c r="G11752" s="3" t="inlineStr">
        <is>
          <t>노곡리</t>
        </is>
      </c>
      <c r="H11752" s="3" t="inlineStr">
        <is>
          <t>계획관리지역</t>
        </is>
      </c>
      <c r="I11752" s="3" t="inlineStr">
        <is>
          <t>임야</t>
        </is>
      </c>
      <c r="J11752" s="3" t="inlineStr">
        <is>
          <t>전의면</t>
        </is>
      </c>
    </row>
    <row r="11753">
      <c r="A11753" s="3" t="n">
        <v>2026</v>
      </c>
      <c r="B11753" s="4" t="n">
        <v>13000</v>
      </c>
      <c r="C11753" s="4" t="n">
        <v>1683</v>
      </c>
      <c r="D11753" s="4" t="n">
        <v>509.1075</v>
      </c>
      <c r="E11753" s="5" t="n">
        <v>25.5</v>
      </c>
      <c r="F11753" s="3" t="inlineStr">
        <is>
          <t>전동면</t>
        </is>
      </c>
      <c r="G11753" s="3" t="inlineStr">
        <is>
          <t>노장리</t>
        </is>
      </c>
      <c r="H11753" s="3" t="inlineStr">
        <is>
          <t>계획관리지역</t>
        </is>
      </c>
      <c r="I11753" s="3" t="inlineStr">
        <is>
          <t>전</t>
        </is>
      </c>
      <c r="J11753" s="3" t="inlineStr">
        <is>
          <t>전동면</t>
        </is>
      </c>
    </row>
    <row r="11754">
      <c r="A11754" s="3" t="n">
        <v>2026</v>
      </c>
      <c r="B11754" s="4" t="n">
        <v>1200</v>
      </c>
      <c r="C11754" s="4" t="n">
        <v>96</v>
      </c>
      <c r="D11754" s="4" t="n">
        <v>29.04</v>
      </c>
      <c r="E11754" s="5" t="n">
        <v>41.3</v>
      </c>
      <c r="F11754" s="3" t="inlineStr">
        <is>
          <t>금남면</t>
        </is>
      </c>
      <c r="G11754" s="3" t="inlineStr">
        <is>
          <t>성강리</t>
        </is>
      </c>
      <c r="H11754" s="3" t="inlineStr">
        <is>
          <t>생산관리지역</t>
        </is>
      </c>
      <c r="I11754" s="3" t="inlineStr">
        <is>
          <t>전</t>
        </is>
      </c>
      <c r="J11754" s="3" t="inlineStr">
        <is>
          <t>금남면</t>
        </is>
      </c>
    </row>
    <row r="11755">
      <c r="A11755" s="3" t="n">
        <v>2026</v>
      </c>
      <c r="B11755" s="4" t="n">
        <v>70500</v>
      </c>
      <c r="C11755" s="4" t="n">
        <v>512</v>
      </c>
      <c r="D11755" s="4" t="n">
        <v>154.88</v>
      </c>
      <c r="E11755" s="5" t="n">
        <v>455.2</v>
      </c>
      <c r="F11755" s="3" t="inlineStr">
        <is>
          <t>고운동</t>
        </is>
      </c>
      <c r="G11755" s="3" t="inlineStr"/>
      <c r="H11755" s="3" t="inlineStr">
        <is>
          <t>제1종전용주거지역</t>
        </is>
      </c>
      <c r="I11755" s="3" t="inlineStr">
        <is>
          <t>대</t>
        </is>
      </c>
      <c r="J11755" s="3" t="inlineStr">
        <is>
          <t>고운동</t>
        </is>
      </c>
    </row>
    <row r="11756">
      <c r="A11756" s="3" t="n">
        <v>2026</v>
      </c>
      <c r="B11756" s="4" t="n">
        <v>7500</v>
      </c>
      <c r="C11756" s="4" t="n">
        <v>9124</v>
      </c>
      <c r="D11756" s="4" t="n">
        <v>2760.01</v>
      </c>
      <c r="E11756" s="5" t="n">
        <v>2.7</v>
      </c>
      <c r="F11756" s="3" t="inlineStr">
        <is>
          <t>전동면</t>
        </is>
      </c>
      <c r="G11756" s="3" t="inlineStr">
        <is>
          <t>노장리</t>
        </is>
      </c>
      <c r="H11756" s="3" t="inlineStr">
        <is>
          <t>농림지역</t>
        </is>
      </c>
      <c r="I11756" s="3" t="inlineStr">
        <is>
          <t>임야</t>
        </is>
      </c>
      <c r="J11756" s="3" t="inlineStr">
        <is>
          <t>전동면</t>
        </is>
      </c>
    </row>
    <row r="11757">
      <c r="A11757" s="3" t="n">
        <v>2026</v>
      </c>
      <c r="B11757" s="4" t="n">
        <v>50000</v>
      </c>
      <c r="C11757" s="4" t="n">
        <v>344.9</v>
      </c>
      <c r="D11757" s="4" t="n">
        <v>104.33225</v>
      </c>
      <c r="E11757" s="5" t="n">
        <v>479.2</v>
      </c>
      <c r="F11757" s="3" t="inlineStr">
        <is>
          <t>고운동</t>
        </is>
      </c>
      <c r="G11757" s="3" t="inlineStr"/>
      <c r="H11757" s="3" t="inlineStr">
        <is>
          <t>제1종전용주거지역</t>
        </is>
      </c>
      <c r="I11757" s="3" t="inlineStr">
        <is>
          <t>대</t>
        </is>
      </c>
      <c r="J11757" s="3" t="inlineStr">
        <is>
          <t>고운동</t>
        </is>
      </c>
    </row>
    <row r="11758">
      <c r="A11758" s="3" t="n">
        <v>2026</v>
      </c>
      <c r="B11758" s="4" t="n">
        <v>8000</v>
      </c>
      <c r="C11758" s="4" t="n">
        <v>89.90000000000001</v>
      </c>
      <c r="D11758" s="4" t="n">
        <v>27.19475</v>
      </c>
      <c r="E11758" s="5" t="n">
        <v>294.2</v>
      </c>
      <c r="F11758" s="3" t="inlineStr">
        <is>
          <t>조치원읍</t>
        </is>
      </c>
      <c r="G11758" s="3" t="inlineStr">
        <is>
          <t>서창리</t>
        </is>
      </c>
      <c r="H11758" s="3" t="inlineStr">
        <is>
          <t>제2종일반주거지역</t>
        </is>
      </c>
      <c r="I11758" s="3" t="inlineStr">
        <is>
          <t>대</t>
        </is>
      </c>
      <c r="J11758" s="3" t="inlineStr">
        <is>
          <t>조치원읍</t>
        </is>
      </c>
    </row>
    <row r="11759">
      <c r="A11759" s="3" t="n">
        <v>2026</v>
      </c>
      <c r="B11759" s="4" t="n">
        <v>28000</v>
      </c>
      <c r="C11759" s="4" t="n">
        <v>1653</v>
      </c>
      <c r="D11759" s="4" t="n">
        <v>500.0325</v>
      </c>
      <c r="E11759" s="5" t="n">
        <v>56</v>
      </c>
      <c r="F11759" s="3" t="inlineStr">
        <is>
          <t>전의면</t>
        </is>
      </c>
      <c r="G11759" s="3" t="inlineStr">
        <is>
          <t>서정리</t>
        </is>
      </c>
      <c r="H11759" s="3" t="inlineStr">
        <is>
          <t>농림지역</t>
        </is>
      </c>
      <c r="I11759" s="3" t="inlineStr">
        <is>
          <t>임야</t>
        </is>
      </c>
      <c r="J11759" s="3" t="inlineStr">
        <is>
          <t>전의면</t>
        </is>
      </c>
    </row>
    <row r="11760">
      <c r="A11760" s="3" t="n">
        <v>2026</v>
      </c>
      <c r="B11760" s="4" t="n">
        <v>51000</v>
      </c>
      <c r="C11760" s="4" t="n">
        <v>743</v>
      </c>
      <c r="D11760" s="4" t="n">
        <v>224.7575</v>
      </c>
      <c r="E11760" s="5" t="n">
        <v>226.9</v>
      </c>
      <c r="F11760" s="3" t="inlineStr">
        <is>
          <t>장군면</t>
        </is>
      </c>
      <c r="G11760" s="3" t="inlineStr">
        <is>
          <t>도계리</t>
        </is>
      </c>
      <c r="H11760" s="3" t="inlineStr">
        <is>
          <t>계획관리지역</t>
        </is>
      </c>
      <c r="I11760" s="3" t="inlineStr">
        <is>
          <t>대</t>
        </is>
      </c>
      <c r="J11760" s="3" t="inlineStr">
        <is>
          <t>장군면</t>
        </is>
      </c>
    </row>
    <row r="11761">
      <c r="A11761" s="3" t="n">
        <v>2025</v>
      </c>
      <c r="B11761" s="4" t="n">
        <v>2023</v>
      </c>
      <c r="C11761" s="4" t="n">
        <v>394</v>
      </c>
      <c r="D11761" s="4" t="n">
        <v>119.185</v>
      </c>
      <c r="E11761" s="5" t="n">
        <v>17</v>
      </c>
      <c r="F11761" s="3" t="inlineStr">
        <is>
          <t>유구읍</t>
        </is>
      </c>
      <c r="G11761" s="3" t="inlineStr">
        <is>
          <t>세동리</t>
        </is>
      </c>
      <c r="H11761" s="3" t="inlineStr">
        <is>
          <t>계획관리지역</t>
        </is>
      </c>
      <c r="I11761" s="3" t="inlineStr">
        <is>
          <t>대</t>
        </is>
      </c>
      <c r="J11761" s="3" t="inlineStr">
        <is>
          <t>유구읍</t>
        </is>
      </c>
    </row>
    <row r="11762">
      <c r="A11762" s="3" t="n">
        <v>2025</v>
      </c>
      <c r="B11762" s="4" t="n">
        <v>9000</v>
      </c>
      <c r="C11762" s="4" t="n">
        <v>164</v>
      </c>
      <c r="D11762" s="4" t="n">
        <v>49.61</v>
      </c>
      <c r="E11762" s="5" t="n">
        <v>181.4</v>
      </c>
      <c r="F11762" s="3" t="inlineStr">
        <is>
          <t>유구읍</t>
        </is>
      </c>
      <c r="G11762" s="3" t="inlineStr">
        <is>
          <t>석남리</t>
        </is>
      </c>
      <c r="H11762" s="3" t="inlineStr">
        <is>
          <t>준주거지역</t>
        </is>
      </c>
      <c r="I11762" s="3" t="inlineStr">
        <is>
          <t>대</t>
        </is>
      </c>
      <c r="J11762" s="3" t="inlineStr">
        <is>
          <t>유구읍</t>
        </is>
      </c>
    </row>
    <row r="11763">
      <c r="A11763" s="3" t="n">
        <v>2025</v>
      </c>
      <c r="B11763" s="4" t="n">
        <v>7000</v>
      </c>
      <c r="C11763" s="4" t="n">
        <v>3134</v>
      </c>
      <c r="D11763" s="4" t="n">
        <v>948.035</v>
      </c>
      <c r="E11763" s="5" t="n">
        <v>7.4</v>
      </c>
      <c r="F11763" s="3" t="inlineStr">
        <is>
          <t>유구읍</t>
        </is>
      </c>
      <c r="G11763" s="3" t="inlineStr">
        <is>
          <t>세동리</t>
        </is>
      </c>
      <c r="H11763" s="3" t="inlineStr">
        <is>
          <t>생산관리지역</t>
        </is>
      </c>
      <c r="I11763" s="3" t="inlineStr">
        <is>
          <t>답</t>
        </is>
      </c>
      <c r="J11763" s="3" t="inlineStr">
        <is>
          <t>유구읍</t>
        </is>
      </c>
    </row>
    <row r="11764">
      <c r="A11764" s="3" t="n">
        <v>2025</v>
      </c>
      <c r="B11764" s="4" t="n">
        <v>9000</v>
      </c>
      <c r="C11764" s="4" t="n">
        <v>1468</v>
      </c>
      <c r="D11764" s="4" t="n">
        <v>444.07</v>
      </c>
      <c r="E11764" s="5" t="n">
        <v>20.3</v>
      </c>
      <c r="F11764" s="3" t="inlineStr">
        <is>
          <t>유구읍</t>
        </is>
      </c>
      <c r="G11764" s="3" t="inlineStr">
        <is>
          <t>유구리</t>
        </is>
      </c>
      <c r="H11764" s="3" t="inlineStr">
        <is>
          <t>계획관리지역</t>
        </is>
      </c>
      <c r="I11764" s="3" t="inlineStr">
        <is>
          <t>답</t>
        </is>
      </c>
      <c r="J11764" s="3" t="inlineStr">
        <is>
          <t>유구읍</t>
        </is>
      </c>
    </row>
    <row r="11765">
      <c r="A11765" s="3" t="n">
        <v>2025</v>
      </c>
      <c r="B11765" s="4" t="n">
        <v>12000</v>
      </c>
      <c r="C11765" s="4" t="n">
        <v>1726</v>
      </c>
      <c r="D11765" s="4" t="n">
        <v>522.115</v>
      </c>
      <c r="E11765" s="5" t="n">
        <v>23</v>
      </c>
      <c r="F11765" s="3" t="inlineStr">
        <is>
          <t>유구읍</t>
        </is>
      </c>
      <c r="G11765" s="3" t="inlineStr">
        <is>
          <t>유구리</t>
        </is>
      </c>
      <c r="H11765" s="3" t="inlineStr">
        <is>
          <t>계획관리지역</t>
        </is>
      </c>
      <c r="I11765" s="3" t="inlineStr">
        <is>
          <t>전</t>
        </is>
      </c>
      <c r="J11765" s="3" t="inlineStr">
        <is>
          <t>유구읍</t>
        </is>
      </c>
    </row>
    <row r="11766">
      <c r="A11766" s="3" t="n">
        <v>2025</v>
      </c>
      <c r="B11766" s="4" t="n">
        <v>3000</v>
      </c>
      <c r="C11766" s="4" t="n">
        <v>450</v>
      </c>
      <c r="D11766" s="4" t="n">
        <v>136.125</v>
      </c>
      <c r="E11766" s="5" t="n">
        <v>22</v>
      </c>
      <c r="F11766" s="3" t="inlineStr">
        <is>
          <t>유구읍</t>
        </is>
      </c>
      <c r="G11766" s="3" t="inlineStr">
        <is>
          <t>유구리</t>
        </is>
      </c>
      <c r="H11766" s="3" t="inlineStr">
        <is>
          <t>계획관리지역</t>
        </is>
      </c>
      <c r="I11766" s="3" t="inlineStr">
        <is>
          <t>전</t>
        </is>
      </c>
      <c r="J11766" s="3" t="inlineStr">
        <is>
          <t>유구읍</t>
        </is>
      </c>
    </row>
    <row r="11767">
      <c r="A11767" s="3" t="n">
        <v>2025</v>
      </c>
      <c r="B11767" s="4" t="n">
        <v>10000</v>
      </c>
      <c r="C11767" s="4" t="n">
        <v>1699</v>
      </c>
      <c r="D11767" s="4" t="n">
        <v>513.9475</v>
      </c>
      <c r="E11767" s="5" t="n">
        <v>19.5</v>
      </c>
      <c r="F11767" s="3" t="inlineStr">
        <is>
          <t>유구읍</t>
        </is>
      </c>
      <c r="G11767" s="3" t="inlineStr">
        <is>
          <t>유구리</t>
        </is>
      </c>
      <c r="H11767" s="3" t="inlineStr">
        <is>
          <t>계획관리지역</t>
        </is>
      </c>
      <c r="I11767" s="3" t="inlineStr">
        <is>
          <t>답</t>
        </is>
      </c>
      <c r="J11767" s="3" t="inlineStr">
        <is>
          <t>유구읍</t>
        </is>
      </c>
    </row>
    <row r="11768">
      <c r="A11768" s="3" t="n">
        <v>2025</v>
      </c>
      <c r="B11768" s="4" t="n">
        <v>17000</v>
      </c>
      <c r="C11768" s="4" t="n">
        <v>2869</v>
      </c>
      <c r="D11768" s="4" t="n">
        <v>867.8724999999999</v>
      </c>
      <c r="E11768" s="5" t="n">
        <v>19.6</v>
      </c>
      <c r="F11768" s="3" t="inlineStr">
        <is>
          <t>유구읍</t>
        </is>
      </c>
      <c r="G11768" s="3" t="inlineStr">
        <is>
          <t>유구리</t>
        </is>
      </c>
      <c r="H11768" s="3" t="inlineStr">
        <is>
          <t>계획관리지역</t>
        </is>
      </c>
      <c r="I11768" s="3" t="inlineStr">
        <is>
          <t>답</t>
        </is>
      </c>
      <c r="J11768" s="3" t="inlineStr">
        <is>
          <t>유구읍</t>
        </is>
      </c>
    </row>
    <row r="11769">
      <c r="A11769" s="3" t="n">
        <v>2025</v>
      </c>
      <c r="B11769" s="4" t="n">
        <v>700</v>
      </c>
      <c r="C11769" s="4" t="n">
        <v>92</v>
      </c>
      <c r="D11769" s="4" t="n">
        <v>27.83</v>
      </c>
      <c r="E11769" s="5" t="n">
        <v>25.2</v>
      </c>
      <c r="F11769" s="3" t="inlineStr">
        <is>
          <t>유구읍</t>
        </is>
      </c>
      <c r="G11769" s="3" t="inlineStr">
        <is>
          <t>유구리</t>
        </is>
      </c>
      <c r="H11769" s="3" t="inlineStr">
        <is>
          <t>계획관리지역</t>
        </is>
      </c>
      <c r="I11769" s="3" t="inlineStr">
        <is>
          <t>전</t>
        </is>
      </c>
      <c r="J11769" s="3" t="inlineStr">
        <is>
          <t>유구읍</t>
        </is>
      </c>
    </row>
    <row r="11770">
      <c r="A11770" s="3" t="n">
        <v>2025</v>
      </c>
      <c r="B11770" s="4" t="n">
        <v>2687</v>
      </c>
      <c r="C11770" s="4" t="n">
        <v>40</v>
      </c>
      <c r="D11770" s="4" t="n">
        <v>12.1</v>
      </c>
      <c r="E11770" s="5" t="n">
        <v>222.1</v>
      </c>
      <c r="F11770" s="3" t="inlineStr">
        <is>
          <t>유구읍</t>
        </is>
      </c>
      <c r="G11770" s="3" t="inlineStr">
        <is>
          <t>석남리</t>
        </is>
      </c>
      <c r="H11770" s="3" t="inlineStr">
        <is>
          <t>일반상업지역</t>
        </is>
      </c>
      <c r="I11770" s="3" t="inlineStr">
        <is>
          <t>대</t>
        </is>
      </c>
      <c r="J11770" s="3" t="inlineStr">
        <is>
          <t>유구읍</t>
        </is>
      </c>
    </row>
    <row r="11771">
      <c r="A11771" s="3" t="n">
        <v>2025</v>
      </c>
      <c r="B11771" s="4" t="n">
        <v>3896</v>
      </c>
      <c r="C11771" s="4" t="n">
        <v>207</v>
      </c>
      <c r="D11771" s="4" t="n">
        <v>62.6175</v>
      </c>
      <c r="E11771" s="5" t="n">
        <v>62.2</v>
      </c>
      <c r="F11771" s="3" t="inlineStr">
        <is>
          <t>유구읍</t>
        </is>
      </c>
      <c r="G11771" s="3" t="inlineStr">
        <is>
          <t>석남리</t>
        </is>
      </c>
      <c r="H11771" s="3" t="inlineStr">
        <is>
          <t>일반상업지역</t>
        </is>
      </c>
      <c r="I11771" s="3" t="inlineStr">
        <is>
          <t>임야</t>
        </is>
      </c>
      <c r="J11771" s="3" t="inlineStr">
        <is>
          <t>유구읍</t>
        </is>
      </c>
    </row>
    <row r="11772">
      <c r="A11772" s="3" t="n">
        <v>2025</v>
      </c>
      <c r="B11772" s="4" t="n">
        <v>49</v>
      </c>
      <c r="C11772" s="4" t="n">
        <v>3</v>
      </c>
      <c r="D11772" s="4" t="n">
        <v>0.9075</v>
      </c>
      <c r="E11772" s="5" t="n">
        <v>54</v>
      </c>
      <c r="F11772" s="3" t="inlineStr">
        <is>
          <t>유구읍</t>
        </is>
      </c>
      <c r="G11772" s="3" t="inlineStr">
        <is>
          <t>석남리</t>
        </is>
      </c>
      <c r="H11772" s="3" t="inlineStr">
        <is>
          <t>일반상업지역</t>
        </is>
      </c>
      <c r="I11772" s="3" t="inlineStr">
        <is>
          <t>임야</t>
        </is>
      </c>
      <c r="J11772" s="3" t="inlineStr">
        <is>
          <t>유구읍</t>
        </is>
      </c>
    </row>
    <row r="11773">
      <c r="A11773" s="3" t="n">
        <v>2025</v>
      </c>
      <c r="B11773" s="4" t="n">
        <v>15968</v>
      </c>
      <c r="C11773" s="4" t="n">
        <v>151</v>
      </c>
      <c r="D11773" s="4" t="n">
        <v>45.6775</v>
      </c>
      <c r="E11773" s="5" t="n">
        <v>349.6</v>
      </c>
      <c r="F11773" s="3" t="inlineStr">
        <is>
          <t>유구읍</t>
        </is>
      </c>
      <c r="G11773" s="3" t="inlineStr">
        <is>
          <t>석남리</t>
        </is>
      </c>
      <c r="H11773" s="3" t="inlineStr">
        <is>
          <t>일반상업지역</t>
        </is>
      </c>
      <c r="I11773" s="3" t="inlineStr">
        <is>
          <t>임야</t>
        </is>
      </c>
      <c r="J11773" s="3" t="inlineStr">
        <is>
          <t>유구읍</t>
        </is>
      </c>
    </row>
    <row r="11774">
      <c r="A11774" s="3" t="n">
        <v>2025</v>
      </c>
      <c r="B11774" s="4" t="n">
        <v>680</v>
      </c>
      <c r="C11774" s="4" t="n">
        <v>374</v>
      </c>
      <c r="D11774" s="4" t="n">
        <v>113.135</v>
      </c>
      <c r="E11774" s="5" t="n">
        <v>6</v>
      </c>
      <c r="F11774" s="3" t="inlineStr">
        <is>
          <t>유구읍</t>
        </is>
      </c>
      <c r="G11774" s="3" t="inlineStr">
        <is>
          <t>명곡리</t>
        </is>
      </c>
      <c r="H11774" s="3" t="inlineStr">
        <is>
          <t>계획관리지역</t>
        </is>
      </c>
      <c r="I11774" s="3" t="inlineStr">
        <is>
          <t>전</t>
        </is>
      </c>
      <c r="J11774" s="3" t="inlineStr">
        <is>
          <t>유구읍</t>
        </is>
      </c>
    </row>
    <row r="11775">
      <c r="A11775" s="3" t="n">
        <v>2025</v>
      </c>
      <c r="B11775" s="4" t="n">
        <v>451</v>
      </c>
      <c r="C11775" s="4" t="n">
        <v>260</v>
      </c>
      <c r="D11775" s="4" t="n">
        <v>78.64999999999999</v>
      </c>
      <c r="E11775" s="5" t="n">
        <v>5.7</v>
      </c>
      <c r="F11775" s="3" t="inlineStr">
        <is>
          <t>유구읍</t>
        </is>
      </c>
      <c r="G11775" s="3" t="inlineStr">
        <is>
          <t>명곡리</t>
        </is>
      </c>
      <c r="H11775" s="3" t="inlineStr">
        <is>
          <t>계획관리지역</t>
        </is>
      </c>
      <c r="I11775" s="3" t="inlineStr">
        <is>
          <t>전</t>
        </is>
      </c>
      <c r="J11775" s="3" t="inlineStr">
        <is>
          <t>유구읍</t>
        </is>
      </c>
    </row>
    <row r="11776">
      <c r="A11776" s="3" t="n">
        <v>2025</v>
      </c>
      <c r="B11776" s="4" t="n">
        <v>869</v>
      </c>
      <c r="C11776" s="4" t="n">
        <v>517</v>
      </c>
      <c r="D11776" s="4" t="n">
        <v>156.3925</v>
      </c>
      <c r="E11776" s="5" t="n">
        <v>5.6</v>
      </c>
      <c r="F11776" s="3" t="inlineStr">
        <is>
          <t>유구읍</t>
        </is>
      </c>
      <c r="G11776" s="3" t="inlineStr">
        <is>
          <t>명곡리</t>
        </is>
      </c>
      <c r="H11776" s="3" t="inlineStr">
        <is>
          <t>농림지역</t>
        </is>
      </c>
      <c r="I11776" s="3" t="inlineStr">
        <is>
          <t>답</t>
        </is>
      </c>
      <c r="J11776" s="3" t="inlineStr">
        <is>
          <t>유구읍</t>
        </is>
      </c>
    </row>
    <row r="11777">
      <c r="A11777" s="3" t="n">
        <v>2025</v>
      </c>
      <c r="B11777" s="4" t="n">
        <v>376</v>
      </c>
      <c r="C11777" s="4" t="n">
        <v>51</v>
      </c>
      <c r="D11777" s="4" t="n">
        <v>15.4275</v>
      </c>
      <c r="E11777" s="5" t="n">
        <v>24.4</v>
      </c>
      <c r="F11777" s="3" t="inlineStr">
        <is>
          <t>유구읍</t>
        </is>
      </c>
      <c r="G11777" s="3" t="inlineStr">
        <is>
          <t>백교리</t>
        </is>
      </c>
      <c r="H11777" s="3" t="inlineStr">
        <is>
          <t>자연녹지지역</t>
        </is>
      </c>
      <c r="I11777" s="3" t="inlineStr">
        <is>
          <t>답</t>
        </is>
      </c>
      <c r="J11777" s="3" t="inlineStr">
        <is>
          <t>유구읍</t>
        </is>
      </c>
    </row>
    <row r="11778">
      <c r="A11778" s="3" t="n">
        <v>2025</v>
      </c>
      <c r="B11778" s="4" t="n">
        <v>1000</v>
      </c>
      <c r="C11778" s="4" t="n">
        <v>202</v>
      </c>
      <c r="D11778" s="4" t="n">
        <v>61.105</v>
      </c>
      <c r="E11778" s="5" t="n">
        <v>16.4</v>
      </c>
      <c r="F11778" s="3" t="inlineStr">
        <is>
          <t>유구읍</t>
        </is>
      </c>
      <c r="G11778" s="3" t="inlineStr">
        <is>
          <t>백교리</t>
        </is>
      </c>
      <c r="H11778" s="3" t="inlineStr">
        <is>
          <t>준공업지역</t>
        </is>
      </c>
      <c r="I11778" s="3" t="inlineStr">
        <is>
          <t>답</t>
        </is>
      </c>
      <c r="J11778" s="3" t="inlineStr">
        <is>
          <t>유구읍</t>
        </is>
      </c>
    </row>
    <row r="11779">
      <c r="A11779" s="3" t="n">
        <v>2025</v>
      </c>
      <c r="B11779" s="4" t="n">
        <v>564</v>
      </c>
      <c r="C11779" s="4" t="n">
        <v>108</v>
      </c>
      <c r="D11779" s="4" t="n">
        <v>32.67</v>
      </c>
      <c r="E11779" s="5" t="n">
        <v>17.3</v>
      </c>
      <c r="F11779" s="3" t="inlineStr">
        <is>
          <t>유구읍</t>
        </is>
      </c>
      <c r="G11779" s="3" t="inlineStr">
        <is>
          <t>백교리</t>
        </is>
      </c>
      <c r="H11779" s="3" t="inlineStr">
        <is>
          <t>준공업지역</t>
        </is>
      </c>
      <c r="I11779" s="3" t="inlineStr">
        <is>
          <t>답</t>
        </is>
      </c>
      <c r="J11779" s="3" t="inlineStr">
        <is>
          <t>유구읍</t>
        </is>
      </c>
    </row>
    <row r="11780">
      <c r="A11780" s="3" t="n">
        <v>2025</v>
      </c>
      <c r="B11780" s="4" t="n">
        <v>230</v>
      </c>
      <c r="C11780" s="4" t="n">
        <v>77</v>
      </c>
      <c r="D11780" s="4" t="n">
        <v>23.2925</v>
      </c>
      <c r="E11780" s="5" t="n">
        <v>9.9</v>
      </c>
      <c r="F11780" s="3" t="inlineStr">
        <is>
          <t>유구읍</t>
        </is>
      </c>
      <c r="G11780" s="3" t="inlineStr">
        <is>
          <t>세동리</t>
        </is>
      </c>
      <c r="H11780" s="3" t="inlineStr">
        <is>
          <t>계획관리지역</t>
        </is>
      </c>
      <c r="I11780" s="3" t="inlineStr">
        <is>
          <t>전</t>
        </is>
      </c>
      <c r="J11780" s="3" t="inlineStr">
        <is>
          <t>유구읍</t>
        </is>
      </c>
    </row>
    <row r="11781">
      <c r="A11781" s="3" t="n">
        <v>2026</v>
      </c>
      <c r="B11781" s="4" t="n">
        <v>9000</v>
      </c>
      <c r="C11781" s="4" t="n">
        <v>992</v>
      </c>
      <c r="D11781" s="4" t="n">
        <v>300.08</v>
      </c>
      <c r="E11781" s="5" t="n">
        <v>30</v>
      </c>
      <c r="F11781" s="3" t="inlineStr">
        <is>
          <t>유구읍</t>
        </is>
      </c>
      <c r="G11781" s="3" t="inlineStr">
        <is>
          <t>유구리</t>
        </is>
      </c>
      <c r="H11781" s="3" t="inlineStr">
        <is>
          <t>자연녹지지역</t>
        </is>
      </c>
      <c r="I11781" s="3" t="inlineStr">
        <is>
          <t>전</t>
        </is>
      </c>
      <c r="J11781" s="3" t="inlineStr">
        <is>
          <t>유구읍</t>
        </is>
      </c>
    </row>
    <row r="11782">
      <c r="A11782" s="3" t="n">
        <v>2026</v>
      </c>
      <c r="B11782" s="4" t="n">
        <v>1836</v>
      </c>
      <c r="C11782" s="4" t="n">
        <v>202</v>
      </c>
      <c r="D11782" s="4" t="n">
        <v>61.105</v>
      </c>
      <c r="E11782" s="5" t="n">
        <v>30</v>
      </c>
      <c r="F11782" s="3" t="inlineStr">
        <is>
          <t>유구읍</t>
        </is>
      </c>
      <c r="G11782" s="3" t="inlineStr">
        <is>
          <t>유구리</t>
        </is>
      </c>
      <c r="H11782" s="3" t="inlineStr">
        <is>
          <t>일반공업지역</t>
        </is>
      </c>
      <c r="I11782" s="3" t="inlineStr">
        <is>
          <t>과수원</t>
        </is>
      </c>
      <c r="J11782" s="3" t="inlineStr">
        <is>
          <t>유구읍</t>
        </is>
      </c>
    </row>
    <row r="11783">
      <c r="A11783" s="3" t="n">
        <v>2026</v>
      </c>
      <c r="B11783" s="4" t="n">
        <v>19500</v>
      </c>
      <c r="C11783" s="4" t="n">
        <v>60616</v>
      </c>
      <c r="D11783" s="4" t="n">
        <v>18336.34</v>
      </c>
      <c r="E11783" s="5" t="n">
        <v>1.1</v>
      </c>
      <c r="F11783" s="3" t="inlineStr">
        <is>
          <t>유구읍</t>
        </is>
      </c>
      <c r="G11783" s="3" t="inlineStr">
        <is>
          <t>명곡리</t>
        </is>
      </c>
      <c r="H11783" s="3" t="inlineStr">
        <is>
          <t>농림지역</t>
        </is>
      </c>
      <c r="I11783" s="3" t="inlineStr">
        <is>
          <t>임야</t>
        </is>
      </c>
      <c r="J11783" s="3" t="inlineStr">
        <is>
          <t>유구읍</t>
        </is>
      </c>
    </row>
    <row r="11784">
      <c r="A11784" s="3" t="n">
        <v>2025</v>
      </c>
      <c r="B11784" s="4" t="n">
        <v>5000</v>
      </c>
      <c r="C11784" s="4" t="n">
        <v>1847</v>
      </c>
      <c r="D11784" s="4" t="n">
        <v>558.7175</v>
      </c>
      <c r="E11784" s="5" t="n">
        <v>8.9</v>
      </c>
      <c r="F11784" s="3" t="inlineStr">
        <is>
          <t>유구읍</t>
        </is>
      </c>
      <c r="G11784" s="3" t="inlineStr">
        <is>
          <t>신달리</t>
        </is>
      </c>
      <c r="H11784" s="3" t="inlineStr">
        <is>
          <t>농림지역</t>
        </is>
      </c>
      <c r="I11784" s="3" t="inlineStr">
        <is>
          <t>답</t>
        </is>
      </c>
      <c r="J11784" s="3" t="inlineStr">
        <is>
          <t>유구읍</t>
        </is>
      </c>
    </row>
    <row r="11785">
      <c r="A11785" s="3" t="n">
        <v>2025</v>
      </c>
      <c r="B11785" s="4" t="n">
        <v>640</v>
      </c>
      <c r="C11785" s="4" t="n">
        <v>32</v>
      </c>
      <c r="D11785" s="4" t="n">
        <v>9.68</v>
      </c>
      <c r="E11785" s="5" t="n">
        <v>66.09999999999999</v>
      </c>
      <c r="F11785" s="3" t="inlineStr">
        <is>
          <t>유구읍</t>
        </is>
      </c>
      <c r="G11785" s="3" t="inlineStr">
        <is>
          <t>유구리</t>
        </is>
      </c>
      <c r="H11785" s="3" t="inlineStr">
        <is>
          <t>제2종일반주거지역</t>
        </is>
      </c>
      <c r="I11785" s="3" t="inlineStr">
        <is>
          <t>대</t>
        </is>
      </c>
      <c r="J11785" s="3" t="inlineStr">
        <is>
          <t>유구읍</t>
        </is>
      </c>
    </row>
    <row r="11786">
      <c r="A11786" s="3" t="n">
        <v>2026</v>
      </c>
      <c r="B11786" s="4" t="n">
        <v>1200</v>
      </c>
      <c r="C11786" s="4" t="n">
        <v>200</v>
      </c>
      <c r="D11786" s="4" t="n">
        <v>60.5</v>
      </c>
      <c r="E11786" s="5" t="n">
        <v>19.8</v>
      </c>
      <c r="F11786" s="3" t="inlineStr">
        <is>
          <t>유구읍</t>
        </is>
      </c>
      <c r="G11786" s="3" t="inlineStr">
        <is>
          <t>백교리</t>
        </is>
      </c>
      <c r="H11786" s="3" t="inlineStr">
        <is>
          <t>계획관리지역</t>
        </is>
      </c>
      <c r="I11786" s="3" t="inlineStr">
        <is>
          <t>전</t>
        </is>
      </c>
      <c r="J11786" s="3" t="inlineStr">
        <is>
          <t>유구읍</t>
        </is>
      </c>
    </row>
    <row r="11787">
      <c r="A11787" s="3" t="n">
        <v>2026</v>
      </c>
      <c r="B11787" s="4" t="n">
        <v>1869</v>
      </c>
      <c r="C11787" s="4" t="n">
        <v>883</v>
      </c>
      <c r="D11787" s="4" t="n">
        <v>267.1075</v>
      </c>
      <c r="E11787" s="5" t="n">
        <v>7</v>
      </c>
      <c r="F11787" s="3" t="inlineStr">
        <is>
          <t>유구읍</t>
        </is>
      </c>
      <c r="G11787" s="3" t="inlineStr">
        <is>
          <t>유구리</t>
        </is>
      </c>
      <c r="H11787" s="3" t="inlineStr">
        <is>
          <t>계획관리지역</t>
        </is>
      </c>
      <c r="I11787" s="3" t="inlineStr">
        <is>
          <t>전</t>
        </is>
      </c>
      <c r="J11787" s="3" t="inlineStr">
        <is>
          <t>유구읍</t>
        </is>
      </c>
    </row>
    <row r="11788">
      <c r="A11788" s="3" t="n">
        <v>2026</v>
      </c>
      <c r="B11788" s="4" t="n">
        <v>200</v>
      </c>
      <c r="C11788" s="4" t="n">
        <v>88</v>
      </c>
      <c r="D11788" s="4" t="n">
        <v>26.62</v>
      </c>
      <c r="E11788" s="5" t="n">
        <v>7.5</v>
      </c>
      <c r="F11788" s="3" t="inlineStr">
        <is>
          <t>유구읍</t>
        </is>
      </c>
      <c r="G11788" s="3" t="inlineStr">
        <is>
          <t>추계리</t>
        </is>
      </c>
      <c r="H11788" s="3" t="inlineStr">
        <is>
          <t>보전관리지역</t>
        </is>
      </c>
      <c r="I11788" s="3" t="inlineStr">
        <is>
          <t>임야</t>
        </is>
      </c>
      <c r="J11788" s="3" t="inlineStr">
        <is>
          <t>유구읍</t>
        </is>
      </c>
    </row>
    <row r="11789">
      <c r="A11789" s="3" t="n">
        <v>2026</v>
      </c>
      <c r="B11789" s="4" t="n">
        <v>6300</v>
      </c>
      <c r="C11789" s="4" t="n">
        <v>435</v>
      </c>
      <c r="D11789" s="4" t="n">
        <v>131.5875</v>
      </c>
      <c r="E11789" s="5" t="n">
        <v>47.9</v>
      </c>
      <c r="F11789" s="3" t="inlineStr">
        <is>
          <t>유구읍</t>
        </is>
      </c>
      <c r="G11789" s="3" t="inlineStr">
        <is>
          <t>녹천리</t>
        </is>
      </c>
      <c r="H11789" s="3" t="inlineStr">
        <is>
          <t>계획관리지역</t>
        </is>
      </c>
      <c r="I11789" s="3" t="inlineStr">
        <is>
          <t>전</t>
        </is>
      </c>
      <c r="J11789" s="3" t="inlineStr">
        <is>
          <t>유구읍</t>
        </is>
      </c>
    </row>
    <row r="11790">
      <c r="A11790" s="3" t="n">
        <v>2026</v>
      </c>
      <c r="B11790" s="4" t="n">
        <v>2000</v>
      </c>
      <c r="C11790" s="4" t="n">
        <v>138</v>
      </c>
      <c r="D11790" s="4" t="n">
        <v>41.745</v>
      </c>
      <c r="E11790" s="5" t="n">
        <v>47.9</v>
      </c>
      <c r="F11790" s="3" t="inlineStr">
        <is>
          <t>유구읍</t>
        </is>
      </c>
      <c r="G11790" s="3" t="inlineStr">
        <is>
          <t>녹천리</t>
        </is>
      </c>
      <c r="H11790" s="3" t="inlineStr">
        <is>
          <t>계획관리지역</t>
        </is>
      </c>
      <c r="I11790" s="3" t="inlineStr">
        <is>
          <t>전</t>
        </is>
      </c>
      <c r="J11790" s="3" t="inlineStr">
        <is>
          <t>유구읍</t>
        </is>
      </c>
    </row>
    <row r="11791">
      <c r="A11791" s="3" t="n">
        <v>2026</v>
      </c>
      <c r="B11791" s="4" t="n">
        <v>2320</v>
      </c>
      <c r="C11791" s="4" t="n">
        <v>383</v>
      </c>
      <c r="D11791" s="4" t="n">
        <v>115.8575</v>
      </c>
      <c r="E11791" s="5" t="n">
        <v>20</v>
      </c>
      <c r="F11791" s="3" t="inlineStr">
        <is>
          <t>유구읍</t>
        </is>
      </c>
      <c r="G11791" s="3" t="inlineStr">
        <is>
          <t>구계리</t>
        </is>
      </c>
      <c r="H11791" s="3" t="inlineStr">
        <is>
          <t>계획관리지역</t>
        </is>
      </c>
      <c r="I11791" s="3" t="inlineStr">
        <is>
          <t>전</t>
        </is>
      </c>
      <c r="J11791" s="3" t="inlineStr">
        <is>
          <t>유구읍</t>
        </is>
      </c>
    </row>
    <row r="11792">
      <c r="A11792" s="3" t="n">
        <v>2026</v>
      </c>
      <c r="B11792" s="4" t="n">
        <v>3580</v>
      </c>
      <c r="C11792" s="4" t="n">
        <v>592</v>
      </c>
      <c r="D11792" s="4" t="n">
        <v>179.08</v>
      </c>
      <c r="E11792" s="5" t="n">
        <v>20</v>
      </c>
      <c r="F11792" s="3" t="inlineStr">
        <is>
          <t>유구읍</t>
        </is>
      </c>
      <c r="G11792" s="3" t="inlineStr">
        <is>
          <t>구계리</t>
        </is>
      </c>
      <c r="H11792" s="3" t="inlineStr">
        <is>
          <t>계획관리지역</t>
        </is>
      </c>
      <c r="I11792" s="3" t="inlineStr">
        <is>
          <t>답</t>
        </is>
      </c>
      <c r="J11792" s="3" t="inlineStr">
        <is>
          <t>유구읍</t>
        </is>
      </c>
    </row>
    <row r="11793">
      <c r="A11793" s="3" t="n">
        <v>2025</v>
      </c>
      <c r="B11793" s="4" t="n">
        <v>767</v>
      </c>
      <c r="C11793" s="4" t="n">
        <v>181</v>
      </c>
      <c r="D11793" s="4" t="n">
        <v>54.7525</v>
      </c>
      <c r="E11793" s="5" t="n">
        <v>14</v>
      </c>
      <c r="F11793" s="3" t="inlineStr">
        <is>
          <t>유구읍</t>
        </is>
      </c>
      <c r="G11793" s="3" t="inlineStr">
        <is>
          <t>명곡리</t>
        </is>
      </c>
      <c r="H11793" s="3" t="inlineStr">
        <is>
          <t>농림지역</t>
        </is>
      </c>
      <c r="I11793" s="3" t="inlineStr">
        <is>
          <t>전</t>
        </is>
      </c>
      <c r="J11793" s="3" t="inlineStr">
        <is>
          <t>유구읍</t>
        </is>
      </c>
    </row>
    <row r="11794">
      <c r="A11794" s="3" t="n">
        <v>2025</v>
      </c>
      <c r="B11794" s="4" t="n">
        <v>6000</v>
      </c>
      <c r="C11794" s="4" t="n">
        <v>330</v>
      </c>
      <c r="D11794" s="4" t="n">
        <v>99.825</v>
      </c>
      <c r="E11794" s="5" t="n">
        <v>60.1</v>
      </c>
      <c r="F11794" s="3" t="inlineStr">
        <is>
          <t>유구읍</t>
        </is>
      </c>
      <c r="G11794" s="3" t="inlineStr">
        <is>
          <t>유구리</t>
        </is>
      </c>
      <c r="H11794" s="3" t="inlineStr">
        <is>
          <t>자연녹지지역</t>
        </is>
      </c>
      <c r="I11794" s="3" t="inlineStr">
        <is>
          <t>전</t>
        </is>
      </c>
      <c r="J11794" s="3" t="inlineStr">
        <is>
          <t>유구읍</t>
        </is>
      </c>
    </row>
    <row r="11795">
      <c r="A11795" s="3" t="n">
        <v>2025</v>
      </c>
      <c r="B11795" s="4" t="n">
        <v>20000</v>
      </c>
      <c r="C11795" s="4" t="n">
        <v>29038</v>
      </c>
      <c r="D11795" s="4" t="n">
        <v>8783.994999999999</v>
      </c>
      <c r="E11795" s="5" t="n">
        <v>2.3</v>
      </c>
      <c r="F11795" s="3" t="inlineStr">
        <is>
          <t>유구읍</t>
        </is>
      </c>
      <c r="G11795" s="3" t="inlineStr">
        <is>
          <t>유구리</t>
        </is>
      </c>
      <c r="H11795" s="3" t="inlineStr">
        <is>
          <t>계획관리지역</t>
        </is>
      </c>
      <c r="I11795" s="3" t="inlineStr">
        <is>
          <t>임야</t>
        </is>
      </c>
      <c r="J11795" s="3" t="inlineStr">
        <is>
          <t>유구읍</t>
        </is>
      </c>
    </row>
    <row r="11796">
      <c r="A11796" s="3" t="n">
        <v>2026</v>
      </c>
      <c r="B11796" s="4" t="n">
        <v>3150</v>
      </c>
      <c r="C11796" s="4" t="n">
        <v>543</v>
      </c>
      <c r="D11796" s="4" t="n">
        <v>164.2575</v>
      </c>
      <c r="E11796" s="5" t="n">
        <v>19.2</v>
      </c>
      <c r="F11796" s="3" t="inlineStr">
        <is>
          <t>유구읍</t>
        </is>
      </c>
      <c r="G11796" s="3" t="inlineStr">
        <is>
          <t>명곡리</t>
        </is>
      </c>
      <c r="H11796" s="3" t="inlineStr">
        <is>
          <t>계획관리지역</t>
        </is>
      </c>
      <c r="I11796" s="3" t="inlineStr">
        <is>
          <t>전</t>
        </is>
      </c>
      <c r="J11796" s="3" t="inlineStr">
        <is>
          <t>유구읍</t>
        </is>
      </c>
    </row>
    <row r="11797">
      <c r="A11797" s="3" t="n">
        <v>2026</v>
      </c>
      <c r="B11797" s="4" t="n">
        <v>5500</v>
      </c>
      <c r="C11797" s="4" t="n">
        <v>1269</v>
      </c>
      <c r="D11797" s="4" t="n">
        <v>383.8725</v>
      </c>
      <c r="E11797" s="5" t="n">
        <v>14.3</v>
      </c>
      <c r="F11797" s="3" t="inlineStr">
        <is>
          <t>유구읍</t>
        </is>
      </c>
      <c r="G11797" s="3" t="inlineStr">
        <is>
          <t>석남리</t>
        </is>
      </c>
      <c r="H11797" s="3" t="inlineStr">
        <is>
          <t>계획관리지역</t>
        </is>
      </c>
      <c r="I11797" s="3" t="inlineStr">
        <is>
          <t>답</t>
        </is>
      </c>
      <c r="J11797" s="3" t="inlineStr">
        <is>
          <t>유구읍</t>
        </is>
      </c>
    </row>
    <row r="11798">
      <c r="A11798" s="3" t="n">
        <v>2025</v>
      </c>
      <c r="B11798" s="4" t="n">
        <v>105</v>
      </c>
      <c r="C11798" s="4" t="n">
        <v>95</v>
      </c>
      <c r="D11798" s="4" t="n">
        <v>28.7375</v>
      </c>
      <c r="E11798" s="5" t="n">
        <v>3.7</v>
      </c>
      <c r="F11798" s="3" t="inlineStr">
        <is>
          <t>유구읍</t>
        </is>
      </c>
      <c r="G11798" s="3" t="inlineStr">
        <is>
          <t>세동리</t>
        </is>
      </c>
      <c r="H11798" s="3" t="inlineStr">
        <is>
          <t>계획관리지역</t>
        </is>
      </c>
      <c r="I11798" s="3" t="inlineStr">
        <is>
          <t>답</t>
        </is>
      </c>
      <c r="J11798" s="3" t="inlineStr">
        <is>
          <t>유구읍</t>
        </is>
      </c>
    </row>
    <row r="11799">
      <c r="A11799" s="3" t="n">
        <v>2025</v>
      </c>
      <c r="B11799" s="4" t="n">
        <v>35</v>
      </c>
      <c r="C11799" s="4" t="n">
        <v>82</v>
      </c>
      <c r="D11799" s="4" t="n">
        <v>24.805</v>
      </c>
      <c r="E11799" s="5" t="n">
        <v>1.4</v>
      </c>
      <c r="F11799" s="3" t="inlineStr">
        <is>
          <t>유구읍</t>
        </is>
      </c>
      <c r="G11799" s="3" t="inlineStr">
        <is>
          <t>세동리</t>
        </is>
      </c>
      <c r="H11799" s="3" t="inlineStr">
        <is>
          <t>계획관리지역</t>
        </is>
      </c>
      <c r="I11799" s="3" t="inlineStr">
        <is>
          <t>답</t>
        </is>
      </c>
      <c r="J11799" s="3" t="inlineStr">
        <is>
          <t>유구읍</t>
        </is>
      </c>
    </row>
    <row r="11800">
      <c r="A11800" s="3" t="n">
        <v>2025</v>
      </c>
      <c r="B11800" s="4" t="n">
        <v>190</v>
      </c>
      <c r="C11800" s="4" t="n">
        <v>240</v>
      </c>
      <c r="D11800" s="4" t="n">
        <v>72.59999999999999</v>
      </c>
      <c r="E11800" s="5" t="n">
        <v>2.6</v>
      </c>
      <c r="F11800" s="3" t="inlineStr">
        <is>
          <t>유구읍</t>
        </is>
      </c>
      <c r="G11800" s="3" t="inlineStr">
        <is>
          <t>세동리</t>
        </is>
      </c>
      <c r="H11800" s="3" t="inlineStr">
        <is>
          <t>계획관리지역</t>
        </is>
      </c>
      <c r="I11800" s="3" t="inlineStr">
        <is>
          <t>답</t>
        </is>
      </c>
      <c r="J11800" s="3" t="inlineStr">
        <is>
          <t>유구읍</t>
        </is>
      </c>
    </row>
    <row r="11801">
      <c r="A11801" s="3" t="n">
        <v>2025</v>
      </c>
      <c r="B11801" s="4" t="n">
        <v>125</v>
      </c>
      <c r="C11801" s="4" t="n">
        <v>234</v>
      </c>
      <c r="D11801" s="4" t="n">
        <v>70.785</v>
      </c>
      <c r="E11801" s="5" t="n">
        <v>1.8</v>
      </c>
      <c r="F11801" s="3" t="inlineStr">
        <is>
          <t>유구읍</t>
        </is>
      </c>
      <c r="G11801" s="3" t="inlineStr">
        <is>
          <t>세동리</t>
        </is>
      </c>
      <c r="H11801" s="3" t="inlineStr">
        <is>
          <t>계획관리지역</t>
        </is>
      </c>
      <c r="I11801" s="3" t="inlineStr">
        <is>
          <t>답</t>
        </is>
      </c>
      <c r="J11801" s="3" t="inlineStr">
        <is>
          <t>유구읍</t>
        </is>
      </c>
    </row>
    <row r="11802">
      <c r="A11802" s="3" t="n">
        <v>2025</v>
      </c>
      <c r="B11802" s="4" t="n">
        <v>4620</v>
      </c>
      <c r="C11802" s="4" t="n">
        <v>874</v>
      </c>
      <c r="D11802" s="4" t="n">
        <v>264.385</v>
      </c>
      <c r="E11802" s="5" t="n">
        <v>17.5</v>
      </c>
      <c r="F11802" s="3" t="inlineStr">
        <is>
          <t>유구읍</t>
        </is>
      </c>
      <c r="G11802" s="3" t="inlineStr">
        <is>
          <t>세동리</t>
        </is>
      </c>
      <c r="H11802" s="3" t="inlineStr">
        <is>
          <t>계획관리지역</t>
        </is>
      </c>
      <c r="I11802" s="3" t="inlineStr">
        <is>
          <t>답</t>
        </is>
      </c>
      <c r="J11802" s="3" t="inlineStr">
        <is>
          <t>유구읍</t>
        </is>
      </c>
    </row>
    <row r="11803">
      <c r="A11803" s="3" t="n">
        <v>2025</v>
      </c>
      <c r="B11803" s="4" t="n">
        <v>640</v>
      </c>
      <c r="C11803" s="4" t="n">
        <v>53</v>
      </c>
      <c r="D11803" s="4" t="n">
        <v>16.0325</v>
      </c>
      <c r="E11803" s="5" t="n">
        <v>39.9</v>
      </c>
      <c r="F11803" s="3" t="inlineStr">
        <is>
          <t>유구읍</t>
        </is>
      </c>
      <c r="G11803" s="3" t="inlineStr">
        <is>
          <t>석남리</t>
        </is>
      </c>
      <c r="H11803" s="3" t="inlineStr">
        <is>
          <t>제2종일반주거지역</t>
        </is>
      </c>
      <c r="I11803" s="3" t="inlineStr">
        <is>
          <t>대</t>
        </is>
      </c>
      <c r="J11803" s="3" t="inlineStr">
        <is>
          <t>유구읍</t>
        </is>
      </c>
    </row>
    <row r="11804">
      <c r="A11804" s="3" t="n">
        <v>2025</v>
      </c>
      <c r="B11804" s="4" t="n">
        <v>8000</v>
      </c>
      <c r="C11804" s="4" t="n">
        <v>681</v>
      </c>
      <c r="D11804" s="4" t="n">
        <v>206.0025</v>
      </c>
      <c r="E11804" s="5" t="n">
        <v>38.8</v>
      </c>
      <c r="F11804" s="3" t="inlineStr">
        <is>
          <t>유구읍</t>
        </is>
      </c>
      <c r="G11804" s="3" t="inlineStr">
        <is>
          <t>동해리</t>
        </is>
      </c>
      <c r="H11804" s="3" t="inlineStr">
        <is>
          <t>계획관리지역</t>
        </is>
      </c>
      <c r="I11804" s="3" t="inlineStr">
        <is>
          <t>대</t>
        </is>
      </c>
      <c r="J11804" s="3" t="inlineStr">
        <is>
          <t>유구읍</t>
        </is>
      </c>
    </row>
    <row r="11805">
      <c r="A11805" s="3" t="n">
        <v>2025</v>
      </c>
      <c r="B11805" s="4" t="n">
        <v>4100</v>
      </c>
      <c r="C11805" s="4" t="n">
        <v>493</v>
      </c>
      <c r="D11805" s="4" t="n">
        <v>149.1325</v>
      </c>
      <c r="E11805" s="5" t="n">
        <v>27.5</v>
      </c>
      <c r="F11805" s="3" t="inlineStr">
        <is>
          <t>유구읍</t>
        </is>
      </c>
      <c r="G11805" s="3" t="inlineStr">
        <is>
          <t>녹천리</t>
        </is>
      </c>
      <c r="H11805" s="3" t="inlineStr">
        <is>
          <t>자연녹지지역</t>
        </is>
      </c>
      <c r="I11805" s="3" t="inlineStr">
        <is>
          <t>전</t>
        </is>
      </c>
      <c r="J11805" s="3" t="inlineStr">
        <is>
          <t>유구읍</t>
        </is>
      </c>
    </row>
    <row r="11806">
      <c r="A11806" s="3" t="n">
        <v>2025</v>
      </c>
      <c r="B11806" s="4" t="n">
        <v>7000</v>
      </c>
      <c r="C11806" s="4" t="n">
        <v>774</v>
      </c>
      <c r="D11806" s="4" t="n">
        <v>234.135</v>
      </c>
      <c r="E11806" s="5" t="n">
        <v>29.9</v>
      </c>
      <c r="F11806" s="3" t="inlineStr">
        <is>
          <t>유구읍</t>
        </is>
      </c>
      <c r="G11806" s="3" t="inlineStr">
        <is>
          <t>추계리</t>
        </is>
      </c>
      <c r="H11806" s="3" t="inlineStr">
        <is>
          <t>생산관리지역</t>
        </is>
      </c>
      <c r="I11806" s="3" t="inlineStr">
        <is>
          <t>전</t>
        </is>
      </c>
      <c r="J11806" s="3" t="inlineStr">
        <is>
          <t>유구읍</t>
        </is>
      </c>
    </row>
    <row r="11807">
      <c r="A11807" s="3" t="n">
        <v>2025</v>
      </c>
      <c r="B11807" s="4" t="n">
        <v>5700</v>
      </c>
      <c r="C11807" s="4" t="n">
        <v>512</v>
      </c>
      <c r="D11807" s="4" t="n">
        <v>154.88</v>
      </c>
      <c r="E11807" s="5" t="n">
        <v>36.8</v>
      </c>
      <c r="F11807" s="3" t="inlineStr">
        <is>
          <t>유구읍</t>
        </is>
      </c>
      <c r="G11807" s="3" t="inlineStr">
        <is>
          <t>명곡리</t>
        </is>
      </c>
      <c r="H11807" s="3" t="inlineStr">
        <is>
          <t>계획관리지역</t>
        </is>
      </c>
      <c r="I11807" s="3" t="inlineStr">
        <is>
          <t>답</t>
        </is>
      </c>
      <c r="J11807" s="3" t="inlineStr">
        <is>
          <t>유구읍</t>
        </is>
      </c>
    </row>
    <row r="11808">
      <c r="A11808" s="3" t="n">
        <v>2025</v>
      </c>
      <c r="B11808" s="4" t="n">
        <v>4700</v>
      </c>
      <c r="C11808" s="4" t="n">
        <v>1042</v>
      </c>
      <c r="D11808" s="4" t="n">
        <v>315.205</v>
      </c>
      <c r="E11808" s="5" t="n">
        <v>14.9</v>
      </c>
      <c r="F11808" s="3" t="inlineStr">
        <is>
          <t>유구읍</t>
        </is>
      </c>
      <c r="G11808" s="3" t="inlineStr">
        <is>
          <t>신영리</t>
        </is>
      </c>
      <c r="H11808" s="3" t="inlineStr">
        <is>
          <t>농림지역</t>
        </is>
      </c>
      <c r="I11808" s="3" t="inlineStr">
        <is>
          <t>답</t>
        </is>
      </c>
      <c r="J11808" s="3" t="inlineStr">
        <is>
          <t>유구읍</t>
        </is>
      </c>
    </row>
    <row r="11809">
      <c r="A11809" s="3" t="n">
        <v>2025</v>
      </c>
      <c r="B11809" s="4" t="n">
        <v>3400</v>
      </c>
      <c r="C11809" s="4" t="n">
        <v>751</v>
      </c>
      <c r="D11809" s="4" t="n">
        <v>227.1775</v>
      </c>
      <c r="E11809" s="5" t="n">
        <v>15</v>
      </c>
      <c r="F11809" s="3" t="inlineStr">
        <is>
          <t>유구읍</t>
        </is>
      </c>
      <c r="G11809" s="3" t="inlineStr">
        <is>
          <t>신영리</t>
        </is>
      </c>
      <c r="H11809" s="3" t="inlineStr">
        <is>
          <t>농림지역</t>
        </is>
      </c>
      <c r="I11809" s="3" t="inlineStr">
        <is>
          <t>답</t>
        </is>
      </c>
      <c r="J11809" s="3" t="inlineStr">
        <is>
          <t>유구읍</t>
        </is>
      </c>
    </row>
    <row r="11810">
      <c r="A11810" s="3" t="n">
        <v>2025</v>
      </c>
      <c r="B11810" s="4" t="n">
        <v>170</v>
      </c>
      <c r="C11810" s="4" t="n">
        <v>43</v>
      </c>
      <c r="D11810" s="4" t="n">
        <v>13.0075</v>
      </c>
      <c r="E11810" s="5" t="n">
        <v>13.1</v>
      </c>
      <c r="F11810" s="3" t="inlineStr">
        <is>
          <t>유구읍</t>
        </is>
      </c>
      <c r="G11810" s="3" t="inlineStr">
        <is>
          <t>녹천리</t>
        </is>
      </c>
      <c r="H11810" s="3" t="inlineStr">
        <is>
          <t>계획관리지역</t>
        </is>
      </c>
      <c r="I11810" s="3" t="inlineStr">
        <is>
          <t>도로</t>
        </is>
      </c>
      <c r="J11810" s="3" t="inlineStr">
        <is>
          <t>유구읍</t>
        </is>
      </c>
    </row>
    <row r="11811">
      <c r="A11811" s="3" t="n">
        <v>2025</v>
      </c>
      <c r="B11811" s="4" t="n">
        <v>80</v>
      </c>
      <c r="C11811" s="4" t="n">
        <v>19</v>
      </c>
      <c r="D11811" s="4" t="n">
        <v>5.7475</v>
      </c>
      <c r="E11811" s="5" t="n">
        <v>13.9</v>
      </c>
      <c r="F11811" s="3" t="inlineStr">
        <is>
          <t>유구읍</t>
        </is>
      </c>
      <c r="G11811" s="3" t="inlineStr">
        <is>
          <t>녹천리</t>
        </is>
      </c>
      <c r="H11811" s="3" t="inlineStr">
        <is>
          <t>계획관리지역</t>
        </is>
      </c>
      <c r="I11811" s="3" t="inlineStr">
        <is>
          <t>도로</t>
        </is>
      </c>
      <c r="J11811" s="3" t="inlineStr">
        <is>
          <t>유구읍</t>
        </is>
      </c>
    </row>
    <row r="11812">
      <c r="A11812" s="3" t="n">
        <v>2025</v>
      </c>
      <c r="B11812" s="4" t="n">
        <v>9977</v>
      </c>
      <c r="C11812" s="4" t="n">
        <v>3001</v>
      </c>
      <c r="D11812" s="4" t="n">
        <v>907.8025</v>
      </c>
      <c r="E11812" s="5" t="n">
        <v>11</v>
      </c>
      <c r="F11812" s="3" t="inlineStr">
        <is>
          <t>유구읍</t>
        </is>
      </c>
      <c r="G11812" s="3" t="inlineStr">
        <is>
          <t>신영리</t>
        </is>
      </c>
      <c r="H11812" s="3" t="inlineStr">
        <is>
          <t>농림지역</t>
        </is>
      </c>
      <c r="I11812" s="3" t="inlineStr">
        <is>
          <t>답</t>
        </is>
      </c>
      <c r="J11812" s="3" t="inlineStr">
        <is>
          <t>유구읍</t>
        </is>
      </c>
    </row>
    <row r="11813">
      <c r="A11813" s="3" t="n">
        <v>2025</v>
      </c>
      <c r="B11813" s="4" t="n">
        <v>3685</v>
      </c>
      <c r="C11813" s="4" t="n">
        <v>1107</v>
      </c>
      <c r="D11813" s="4" t="n">
        <v>334.8675</v>
      </c>
      <c r="E11813" s="5" t="n">
        <v>11</v>
      </c>
      <c r="F11813" s="3" t="inlineStr">
        <is>
          <t>유구읍</t>
        </is>
      </c>
      <c r="G11813" s="3" t="inlineStr">
        <is>
          <t>신영리</t>
        </is>
      </c>
      <c r="H11813" s="3" t="inlineStr">
        <is>
          <t>농림지역</t>
        </is>
      </c>
      <c r="I11813" s="3" t="inlineStr">
        <is>
          <t>답</t>
        </is>
      </c>
      <c r="J11813" s="3" t="inlineStr">
        <is>
          <t>유구읍</t>
        </is>
      </c>
    </row>
    <row r="11814">
      <c r="A11814" s="3" t="n">
        <v>2025</v>
      </c>
      <c r="B11814" s="4" t="n">
        <v>9449</v>
      </c>
      <c r="C11814" s="4" t="n">
        <v>568</v>
      </c>
      <c r="D11814" s="4" t="n">
        <v>171.82</v>
      </c>
      <c r="E11814" s="5" t="n">
        <v>55</v>
      </c>
      <c r="F11814" s="3" t="inlineStr">
        <is>
          <t>유구읍</t>
        </is>
      </c>
      <c r="G11814" s="3" t="inlineStr">
        <is>
          <t>유구리</t>
        </is>
      </c>
      <c r="H11814" s="3" t="inlineStr">
        <is>
          <t>제2종일반주거지역</t>
        </is>
      </c>
      <c r="I11814" s="3" t="inlineStr">
        <is>
          <t>대</t>
        </is>
      </c>
      <c r="J11814" s="3" t="inlineStr">
        <is>
          <t>유구읍</t>
        </is>
      </c>
    </row>
    <row r="11815">
      <c r="A11815" s="3" t="n">
        <v>2025</v>
      </c>
      <c r="B11815" s="4" t="n">
        <v>10800</v>
      </c>
      <c r="C11815" s="4" t="n">
        <v>2976</v>
      </c>
      <c r="D11815" s="4" t="n">
        <v>900.24</v>
      </c>
      <c r="E11815" s="5" t="n">
        <v>12</v>
      </c>
      <c r="F11815" s="3" t="inlineStr">
        <is>
          <t>유구읍</t>
        </is>
      </c>
      <c r="G11815" s="3" t="inlineStr">
        <is>
          <t>만천리</t>
        </is>
      </c>
      <c r="H11815" s="3" t="inlineStr">
        <is>
          <t>농림지역</t>
        </is>
      </c>
      <c r="I11815" s="3" t="inlineStr">
        <is>
          <t>답</t>
        </is>
      </c>
      <c r="J11815" s="3" t="inlineStr">
        <is>
          <t>유구읍</t>
        </is>
      </c>
    </row>
    <row r="11816">
      <c r="A11816" s="3" t="n">
        <v>2025</v>
      </c>
      <c r="B11816" s="4" t="n">
        <v>4500</v>
      </c>
      <c r="C11816" s="4" t="n">
        <v>1499</v>
      </c>
      <c r="D11816" s="4" t="n">
        <v>453.4475</v>
      </c>
      <c r="E11816" s="5" t="n">
        <v>9.9</v>
      </c>
      <c r="F11816" s="3" t="inlineStr">
        <is>
          <t>유구읍</t>
        </is>
      </c>
      <c r="G11816" s="3" t="inlineStr">
        <is>
          <t>명곡리</t>
        </is>
      </c>
      <c r="H11816" s="3" t="inlineStr">
        <is>
          <t>농림지역</t>
        </is>
      </c>
      <c r="I11816" s="3" t="inlineStr">
        <is>
          <t>답</t>
        </is>
      </c>
      <c r="J11816" s="3" t="inlineStr">
        <is>
          <t>유구읍</t>
        </is>
      </c>
    </row>
    <row r="11817">
      <c r="A11817" s="3" t="n">
        <v>2025</v>
      </c>
      <c r="B11817" s="4" t="n">
        <v>7910</v>
      </c>
      <c r="C11817" s="4" t="n">
        <v>2615</v>
      </c>
      <c r="D11817" s="4" t="n">
        <v>791.0375</v>
      </c>
      <c r="E11817" s="5" t="n">
        <v>10</v>
      </c>
      <c r="F11817" s="3" t="inlineStr">
        <is>
          <t>유구읍</t>
        </is>
      </c>
      <c r="G11817" s="3" t="inlineStr">
        <is>
          <t>신영리</t>
        </is>
      </c>
      <c r="H11817" s="3" t="inlineStr">
        <is>
          <t>보전관리지역</t>
        </is>
      </c>
      <c r="I11817" s="3" t="inlineStr">
        <is>
          <t>답</t>
        </is>
      </c>
      <c r="J11817" s="3" t="inlineStr">
        <is>
          <t>유구읍</t>
        </is>
      </c>
    </row>
    <row r="11818">
      <c r="A11818" s="3" t="n">
        <v>2025</v>
      </c>
      <c r="B11818" s="4" t="n">
        <v>1685</v>
      </c>
      <c r="C11818" s="4" t="n">
        <v>560</v>
      </c>
      <c r="D11818" s="4" t="n">
        <v>169.4</v>
      </c>
      <c r="E11818" s="5" t="n">
        <v>9.9</v>
      </c>
      <c r="F11818" s="3" t="inlineStr">
        <is>
          <t>유구읍</t>
        </is>
      </c>
      <c r="G11818" s="3" t="inlineStr">
        <is>
          <t>입석리</t>
        </is>
      </c>
      <c r="H11818" s="3" t="inlineStr">
        <is>
          <t>농림지역</t>
        </is>
      </c>
      <c r="I11818" s="3" t="inlineStr">
        <is>
          <t>답</t>
        </is>
      </c>
      <c r="J11818" s="3" t="inlineStr">
        <is>
          <t>유구읍</t>
        </is>
      </c>
    </row>
    <row r="11819">
      <c r="A11819" s="3" t="n">
        <v>2025</v>
      </c>
      <c r="B11819" s="4" t="n">
        <v>967</v>
      </c>
      <c r="C11819" s="4" t="n">
        <v>306</v>
      </c>
      <c r="D11819" s="4" t="n">
        <v>92.565</v>
      </c>
      <c r="E11819" s="5" t="n">
        <v>10.4</v>
      </c>
      <c r="F11819" s="3" t="inlineStr">
        <is>
          <t>유구읍</t>
        </is>
      </c>
      <c r="G11819" s="3" t="inlineStr">
        <is>
          <t>백교리</t>
        </is>
      </c>
      <c r="H11819" s="3" t="inlineStr">
        <is>
          <t>농림지역</t>
        </is>
      </c>
      <c r="I11819" s="3" t="inlineStr">
        <is>
          <t>답</t>
        </is>
      </c>
      <c r="J11819" s="3" t="inlineStr">
        <is>
          <t>유구읍</t>
        </is>
      </c>
    </row>
    <row r="11820">
      <c r="A11820" s="3" t="n">
        <v>2025</v>
      </c>
      <c r="B11820" s="4" t="n">
        <v>650</v>
      </c>
      <c r="C11820" s="4" t="n">
        <v>397</v>
      </c>
      <c r="D11820" s="4" t="n">
        <v>120.0925</v>
      </c>
      <c r="E11820" s="5" t="n">
        <v>5.4</v>
      </c>
      <c r="F11820" s="3" t="inlineStr">
        <is>
          <t>유구읍</t>
        </is>
      </c>
      <c r="G11820" s="3" t="inlineStr">
        <is>
          <t>녹천리</t>
        </is>
      </c>
      <c r="H11820" s="3" t="inlineStr">
        <is>
          <t>계획관리지역</t>
        </is>
      </c>
      <c r="I11820" s="3" t="inlineStr">
        <is>
          <t>임야</t>
        </is>
      </c>
      <c r="J11820" s="3" t="inlineStr">
        <is>
          <t>유구읍</t>
        </is>
      </c>
    </row>
    <row r="11821">
      <c r="A11821" s="3" t="n">
        <v>2026</v>
      </c>
      <c r="B11821" s="4" t="n">
        <v>16500</v>
      </c>
      <c r="C11821" s="4" t="n">
        <v>569</v>
      </c>
      <c r="D11821" s="4" t="n">
        <v>172.1225</v>
      </c>
      <c r="E11821" s="5" t="n">
        <v>95.90000000000001</v>
      </c>
      <c r="F11821" s="3" t="inlineStr">
        <is>
          <t>유구읍</t>
        </is>
      </c>
      <c r="G11821" s="3" t="inlineStr">
        <is>
          <t>백교리</t>
        </is>
      </c>
      <c r="H11821" s="3" t="inlineStr">
        <is>
          <t>제2종일반주거지역</t>
        </is>
      </c>
      <c r="I11821" s="3" t="inlineStr">
        <is>
          <t>답</t>
        </is>
      </c>
      <c r="J11821" s="3" t="inlineStr">
        <is>
          <t>유구읍</t>
        </is>
      </c>
    </row>
    <row r="11822">
      <c r="A11822" s="3" t="n">
        <v>2026</v>
      </c>
      <c r="B11822" s="4" t="n">
        <v>7500</v>
      </c>
      <c r="C11822" s="4" t="n">
        <v>183</v>
      </c>
      <c r="D11822" s="4" t="n">
        <v>55.3575</v>
      </c>
      <c r="E11822" s="5" t="n">
        <v>135.5</v>
      </c>
      <c r="F11822" s="3" t="inlineStr">
        <is>
          <t>유구읍</t>
        </is>
      </c>
      <c r="G11822" s="3" t="inlineStr">
        <is>
          <t>백교리</t>
        </is>
      </c>
      <c r="H11822" s="3" t="inlineStr">
        <is>
          <t>제2종일반주거지역</t>
        </is>
      </c>
      <c r="I11822" s="3" t="inlineStr">
        <is>
          <t>답</t>
        </is>
      </c>
      <c r="J11822" s="3" t="inlineStr">
        <is>
          <t>유구읍</t>
        </is>
      </c>
    </row>
    <row r="11823">
      <c r="A11823" s="3" t="n">
        <v>2026</v>
      </c>
      <c r="B11823" s="4" t="n">
        <v>7300</v>
      </c>
      <c r="C11823" s="4" t="n">
        <v>1636</v>
      </c>
      <c r="D11823" s="4" t="n">
        <v>494.89</v>
      </c>
      <c r="E11823" s="5" t="n">
        <v>14.8</v>
      </c>
      <c r="F11823" s="3" t="inlineStr">
        <is>
          <t>유구읍</t>
        </is>
      </c>
      <c r="G11823" s="3" t="inlineStr">
        <is>
          <t>신영리</t>
        </is>
      </c>
      <c r="H11823" s="3" t="inlineStr">
        <is>
          <t>보전관리지역</t>
        </is>
      </c>
      <c r="I11823" s="3" t="inlineStr">
        <is>
          <t>전</t>
        </is>
      </c>
      <c r="J11823" s="3" t="inlineStr">
        <is>
          <t>유구읍</t>
        </is>
      </c>
    </row>
    <row r="11824">
      <c r="A11824" s="3" t="n">
        <v>2026</v>
      </c>
      <c r="B11824" s="4" t="n">
        <v>4300</v>
      </c>
      <c r="C11824" s="4" t="n">
        <v>526</v>
      </c>
      <c r="D11824" s="4" t="n">
        <v>159.115</v>
      </c>
      <c r="E11824" s="5" t="n">
        <v>27</v>
      </c>
      <c r="F11824" s="3" t="inlineStr">
        <is>
          <t>유구읍</t>
        </is>
      </c>
      <c r="G11824" s="3" t="inlineStr">
        <is>
          <t>덕곡리</t>
        </is>
      </c>
      <c r="H11824" s="3" t="inlineStr">
        <is>
          <t>보전관리지역</t>
        </is>
      </c>
      <c r="I11824" s="3" t="inlineStr">
        <is>
          <t>전</t>
        </is>
      </c>
      <c r="J11824" s="3" t="inlineStr">
        <is>
          <t>유구읍</t>
        </is>
      </c>
    </row>
    <row r="11825">
      <c r="A11825" s="3" t="n">
        <v>2026</v>
      </c>
      <c r="B11825" s="4" t="n">
        <v>6490</v>
      </c>
      <c r="C11825" s="4" t="n">
        <v>1754</v>
      </c>
      <c r="D11825" s="4" t="n">
        <v>530.585</v>
      </c>
      <c r="E11825" s="5" t="n">
        <v>12.2</v>
      </c>
      <c r="F11825" s="3" t="inlineStr">
        <is>
          <t>유구읍</t>
        </is>
      </c>
      <c r="G11825" s="3" t="inlineStr">
        <is>
          <t>만천리</t>
        </is>
      </c>
      <c r="H11825" s="3" t="inlineStr">
        <is>
          <t>농림지역</t>
        </is>
      </c>
      <c r="I11825" s="3" t="inlineStr">
        <is>
          <t>답</t>
        </is>
      </c>
      <c r="J11825" s="3" t="inlineStr">
        <is>
          <t>유구읍</t>
        </is>
      </c>
    </row>
    <row r="11826">
      <c r="A11826" s="3" t="n">
        <v>2026</v>
      </c>
      <c r="B11826" s="4" t="n">
        <v>7488</v>
      </c>
      <c r="C11826" s="4" t="n">
        <v>2063</v>
      </c>
      <c r="D11826" s="4" t="n">
        <v>624.0575</v>
      </c>
      <c r="E11826" s="5" t="n">
        <v>12</v>
      </c>
      <c r="F11826" s="3" t="inlineStr">
        <is>
          <t>유구읍</t>
        </is>
      </c>
      <c r="G11826" s="3" t="inlineStr">
        <is>
          <t>석남리</t>
        </is>
      </c>
      <c r="H11826" s="3" t="inlineStr">
        <is>
          <t>계획관리지역</t>
        </is>
      </c>
      <c r="I11826" s="3" t="inlineStr">
        <is>
          <t>답</t>
        </is>
      </c>
      <c r="J11826" s="3" t="inlineStr">
        <is>
          <t>유구읍</t>
        </is>
      </c>
    </row>
    <row r="11827">
      <c r="A11827" s="3" t="n">
        <v>2026</v>
      </c>
      <c r="B11827" s="4" t="n">
        <v>10000</v>
      </c>
      <c r="C11827" s="4" t="n">
        <v>1976</v>
      </c>
      <c r="D11827" s="4" t="n">
        <v>597.74</v>
      </c>
      <c r="E11827" s="5" t="n">
        <v>16.7</v>
      </c>
      <c r="F11827" s="3" t="inlineStr">
        <is>
          <t>유구읍</t>
        </is>
      </c>
      <c r="G11827" s="3" t="inlineStr">
        <is>
          <t>덕곡리</t>
        </is>
      </c>
      <c r="H11827" s="3" t="inlineStr">
        <is>
          <t>계획관리지역</t>
        </is>
      </c>
      <c r="I11827" s="3" t="inlineStr">
        <is>
          <t>대</t>
        </is>
      </c>
      <c r="J11827" s="3" t="inlineStr">
        <is>
          <t>유구읍</t>
        </is>
      </c>
    </row>
    <row r="11828">
      <c r="A11828" s="3" t="n">
        <v>2026</v>
      </c>
      <c r="B11828" s="4" t="n">
        <v>500</v>
      </c>
      <c r="C11828" s="4" t="n">
        <v>552</v>
      </c>
      <c r="D11828" s="4" t="n">
        <v>166.98</v>
      </c>
      <c r="E11828" s="5" t="n">
        <v>3</v>
      </c>
      <c r="F11828" s="3" t="inlineStr">
        <is>
          <t>유구읍</t>
        </is>
      </c>
      <c r="G11828" s="3" t="inlineStr">
        <is>
          <t>동해리</t>
        </is>
      </c>
      <c r="H11828" s="3" t="inlineStr">
        <is>
          <t>계획관리지역</t>
        </is>
      </c>
      <c r="I11828" s="3" t="inlineStr">
        <is>
          <t>전</t>
        </is>
      </c>
      <c r="J11828" s="3" t="inlineStr">
        <is>
          <t>유구읍</t>
        </is>
      </c>
    </row>
    <row r="11829">
      <c r="A11829" s="3" t="n">
        <v>2026</v>
      </c>
      <c r="B11829" s="4" t="n">
        <v>3000</v>
      </c>
      <c r="C11829" s="4" t="n">
        <v>1008</v>
      </c>
      <c r="D11829" s="4" t="n">
        <v>304.92</v>
      </c>
      <c r="E11829" s="5" t="n">
        <v>9.800000000000001</v>
      </c>
      <c r="F11829" s="3" t="inlineStr">
        <is>
          <t>유구읍</t>
        </is>
      </c>
      <c r="G11829" s="3" t="inlineStr">
        <is>
          <t>입석리</t>
        </is>
      </c>
      <c r="H11829" s="3" t="inlineStr">
        <is>
          <t>보전관리지역</t>
        </is>
      </c>
      <c r="I11829" s="3" t="inlineStr">
        <is>
          <t>전</t>
        </is>
      </c>
      <c r="J11829" s="3" t="inlineStr">
        <is>
          <t>유구읍</t>
        </is>
      </c>
    </row>
    <row r="11830">
      <c r="A11830" s="3" t="n">
        <v>2025</v>
      </c>
      <c r="B11830" s="4" t="n">
        <v>4000</v>
      </c>
      <c r="C11830" s="4" t="n">
        <v>175</v>
      </c>
      <c r="D11830" s="4" t="n">
        <v>52.9375</v>
      </c>
      <c r="E11830" s="5" t="n">
        <v>75.59999999999999</v>
      </c>
      <c r="F11830" s="3" t="inlineStr">
        <is>
          <t>유구읍</t>
        </is>
      </c>
      <c r="G11830" s="3" t="inlineStr">
        <is>
          <t>석남리</t>
        </is>
      </c>
      <c r="H11830" s="3" t="inlineStr">
        <is>
          <t>제2종일반주거지역</t>
        </is>
      </c>
      <c r="I11830" s="3" t="inlineStr">
        <is>
          <t>대</t>
        </is>
      </c>
      <c r="J11830" s="3" t="inlineStr">
        <is>
          <t>유구읍</t>
        </is>
      </c>
    </row>
    <row r="11831">
      <c r="A11831" s="3" t="n">
        <v>2026</v>
      </c>
      <c r="B11831" s="4" t="n">
        <v>7300</v>
      </c>
      <c r="C11831" s="4" t="n">
        <v>568</v>
      </c>
      <c r="D11831" s="4" t="n">
        <v>171.82</v>
      </c>
      <c r="E11831" s="5" t="n">
        <v>42.5</v>
      </c>
      <c r="F11831" s="3" t="inlineStr">
        <is>
          <t>유구읍</t>
        </is>
      </c>
      <c r="G11831" s="3" t="inlineStr">
        <is>
          <t>녹천리</t>
        </is>
      </c>
      <c r="H11831" s="3" t="inlineStr">
        <is>
          <t>제2종일반주거지역</t>
        </is>
      </c>
      <c r="I11831" s="3" t="inlineStr">
        <is>
          <t>전</t>
        </is>
      </c>
      <c r="J11831" s="3" t="inlineStr">
        <is>
          <t>유구읍</t>
        </is>
      </c>
    </row>
    <row r="11832">
      <c r="A11832" s="3" t="n">
        <v>2026</v>
      </c>
      <c r="B11832" s="4" t="n">
        <v>3660</v>
      </c>
      <c r="C11832" s="4" t="n">
        <v>807</v>
      </c>
      <c r="D11832" s="4" t="n">
        <v>244.1175</v>
      </c>
      <c r="E11832" s="5" t="n">
        <v>15</v>
      </c>
      <c r="F11832" s="3" t="inlineStr">
        <is>
          <t>유구읍</t>
        </is>
      </c>
      <c r="G11832" s="3" t="inlineStr">
        <is>
          <t>동해리</t>
        </is>
      </c>
      <c r="H11832" s="3" t="inlineStr">
        <is>
          <t>계획관리지역</t>
        </is>
      </c>
      <c r="I11832" s="3" t="inlineStr">
        <is>
          <t>전</t>
        </is>
      </c>
      <c r="J11832" s="3" t="inlineStr">
        <is>
          <t>유구읍</t>
        </is>
      </c>
    </row>
    <row r="11833">
      <c r="A11833" s="3" t="n">
        <v>2026</v>
      </c>
      <c r="B11833" s="4" t="n">
        <v>6000</v>
      </c>
      <c r="C11833" s="4" t="n">
        <v>728</v>
      </c>
      <c r="D11833" s="4" t="n">
        <v>220.22</v>
      </c>
      <c r="E11833" s="5" t="n">
        <v>27.2</v>
      </c>
      <c r="F11833" s="3" t="inlineStr">
        <is>
          <t>유구읍</t>
        </is>
      </c>
      <c r="G11833" s="3" t="inlineStr">
        <is>
          <t>명곡리</t>
        </is>
      </c>
      <c r="H11833" s="3" t="inlineStr">
        <is>
          <t>계획관리지역</t>
        </is>
      </c>
      <c r="I11833" s="3" t="inlineStr">
        <is>
          <t>답</t>
        </is>
      </c>
      <c r="J11833" s="3" t="inlineStr">
        <is>
          <t>유구읍</t>
        </is>
      </c>
    </row>
    <row r="11834">
      <c r="A11834" s="3" t="n">
        <v>2026</v>
      </c>
      <c r="B11834" s="4" t="n">
        <v>300</v>
      </c>
      <c r="C11834" s="4" t="n">
        <v>263</v>
      </c>
      <c r="D11834" s="4" t="n">
        <v>79.5575</v>
      </c>
      <c r="E11834" s="5" t="n">
        <v>3.8</v>
      </c>
      <c r="F11834" s="3" t="inlineStr">
        <is>
          <t>유구읍</t>
        </is>
      </c>
      <c r="G11834" s="3" t="inlineStr">
        <is>
          <t>노동리</t>
        </is>
      </c>
      <c r="H11834" s="3" t="inlineStr">
        <is>
          <t>계획관리지역</t>
        </is>
      </c>
      <c r="I11834" s="3" t="inlineStr">
        <is>
          <t>전</t>
        </is>
      </c>
      <c r="J11834" s="3" t="inlineStr">
        <is>
          <t>유구읍</t>
        </is>
      </c>
    </row>
    <row r="11835">
      <c r="A11835" s="3" t="n">
        <v>2024</v>
      </c>
      <c r="B11835" s="4" t="n">
        <v>370</v>
      </c>
      <c r="C11835" s="4" t="n">
        <v>76</v>
      </c>
      <c r="D11835" s="4" t="n">
        <v>22.99</v>
      </c>
      <c r="E11835" s="5" t="n">
        <v>16.1</v>
      </c>
      <c r="F11835" s="3" t="inlineStr">
        <is>
          <t>유구읍</t>
        </is>
      </c>
      <c r="G11835" s="3" t="inlineStr">
        <is>
          <t>유구리</t>
        </is>
      </c>
      <c r="H11835" s="3" t="inlineStr">
        <is>
          <t>계획관리지역</t>
        </is>
      </c>
      <c r="I11835" s="3" t="inlineStr">
        <is>
          <t>임야</t>
        </is>
      </c>
      <c r="J11835" s="3" t="inlineStr">
        <is>
          <t>유구읍</t>
        </is>
      </c>
    </row>
    <row r="11836">
      <c r="A11836" s="3" t="n">
        <v>2024</v>
      </c>
      <c r="B11836" s="4" t="n">
        <v>2500</v>
      </c>
      <c r="C11836" s="4" t="n">
        <v>17036</v>
      </c>
      <c r="D11836" s="4" t="n">
        <v>5153.389999999999</v>
      </c>
      <c r="E11836" s="5" t="n">
        <v>0.5</v>
      </c>
      <c r="F11836" s="3" t="inlineStr">
        <is>
          <t>유구읍</t>
        </is>
      </c>
      <c r="G11836" s="3" t="inlineStr">
        <is>
          <t>세동리</t>
        </is>
      </c>
      <c r="H11836" s="3" t="inlineStr">
        <is>
          <t>농림지역</t>
        </is>
      </c>
      <c r="I11836" s="3" t="inlineStr">
        <is>
          <t>임야</t>
        </is>
      </c>
      <c r="J11836" s="3" t="inlineStr">
        <is>
          <t>유구읍</t>
        </is>
      </c>
    </row>
    <row r="11837">
      <c r="A11837" s="3" t="n">
        <v>2024</v>
      </c>
      <c r="B11837" s="4" t="n">
        <v>3300</v>
      </c>
      <c r="C11837" s="4" t="n">
        <v>126</v>
      </c>
      <c r="D11837" s="4" t="n">
        <v>38.115</v>
      </c>
      <c r="E11837" s="5" t="n">
        <v>86.59999999999999</v>
      </c>
      <c r="F11837" s="3" t="inlineStr">
        <is>
          <t>유구읍</t>
        </is>
      </c>
      <c r="G11837" s="3" t="inlineStr">
        <is>
          <t>석남리</t>
        </is>
      </c>
      <c r="H11837" s="3" t="inlineStr">
        <is>
          <t>제2종일반주거지역</t>
        </is>
      </c>
      <c r="I11837" s="3" t="inlineStr">
        <is>
          <t>대</t>
        </is>
      </c>
      <c r="J11837" s="3" t="inlineStr">
        <is>
          <t>유구읍</t>
        </is>
      </c>
    </row>
    <row r="11838">
      <c r="A11838" s="3" t="n">
        <v>2025</v>
      </c>
      <c r="B11838" s="4" t="n">
        <v>1460</v>
      </c>
      <c r="C11838" s="4" t="n">
        <v>38</v>
      </c>
      <c r="D11838" s="4" t="n">
        <v>11.495</v>
      </c>
      <c r="E11838" s="5" t="n">
        <v>127</v>
      </c>
      <c r="F11838" s="3" t="inlineStr">
        <is>
          <t>유구읍</t>
        </is>
      </c>
      <c r="G11838" s="3" t="inlineStr">
        <is>
          <t>석남리</t>
        </is>
      </c>
      <c r="H11838" s="3" t="inlineStr">
        <is>
          <t>준주거지역</t>
        </is>
      </c>
      <c r="I11838" s="3" t="inlineStr">
        <is>
          <t>대</t>
        </is>
      </c>
      <c r="J11838" s="3" t="inlineStr">
        <is>
          <t>유구읍</t>
        </is>
      </c>
    </row>
    <row r="11839">
      <c r="A11839" s="3" t="n">
        <v>2025</v>
      </c>
      <c r="B11839" s="4" t="n">
        <v>4640</v>
      </c>
      <c r="C11839" s="4" t="n">
        <v>130</v>
      </c>
      <c r="D11839" s="4" t="n">
        <v>39.325</v>
      </c>
      <c r="E11839" s="5" t="n">
        <v>118</v>
      </c>
      <c r="F11839" s="3" t="inlineStr">
        <is>
          <t>유구읍</t>
        </is>
      </c>
      <c r="G11839" s="3" t="inlineStr">
        <is>
          <t>석남리</t>
        </is>
      </c>
      <c r="H11839" s="3" t="inlineStr">
        <is>
          <t>준주거지역</t>
        </is>
      </c>
      <c r="I11839" s="3" t="inlineStr">
        <is>
          <t>대</t>
        </is>
      </c>
      <c r="J11839" s="3" t="inlineStr">
        <is>
          <t>유구읍</t>
        </is>
      </c>
    </row>
    <row r="11840">
      <c r="A11840" s="3" t="n">
        <v>2025</v>
      </c>
      <c r="B11840" s="4" t="n">
        <v>300</v>
      </c>
      <c r="C11840" s="4" t="n">
        <v>50</v>
      </c>
      <c r="D11840" s="4" t="n">
        <v>15.125</v>
      </c>
      <c r="E11840" s="5" t="n">
        <v>19.8</v>
      </c>
      <c r="F11840" s="3" t="inlineStr">
        <is>
          <t>유구읍</t>
        </is>
      </c>
      <c r="G11840" s="3" t="inlineStr">
        <is>
          <t>탑곡리</t>
        </is>
      </c>
      <c r="H11840" s="3" t="inlineStr">
        <is>
          <t>일반상업지역</t>
        </is>
      </c>
      <c r="I11840" s="3" t="inlineStr">
        <is>
          <t>답</t>
        </is>
      </c>
      <c r="J11840" s="3" t="inlineStr">
        <is>
          <t>유구읍</t>
        </is>
      </c>
    </row>
    <row r="11841">
      <c r="A11841" s="3" t="n">
        <v>2025</v>
      </c>
      <c r="B11841" s="4" t="n">
        <v>9400</v>
      </c>
      <c r="C11841" s="4" t="n">
        <v>1802</v>
      </c>
      <c r="D11841" s="4" t="n">
        <v>545.105</v>
      </c>
      <c r="E11841" s="5" t="n">
        <v>17.2</v>
      </c>
      <c r="F11841" s="3" t="inlineStr">
        <is>
          <t>유구읍</t>
        </is>
      </c>
      <c r="G11841" s="3" t="inlineStr">
        <is>
          <t>탑곡리</t>
        </is>
      </c>
      <c r="H11841" s="3" t="inlineStr">
        <is>
          <t>일반상업지역</t>
        </is>
      </c>
      <c r="I11841" s="3" t="inlineStr">
        <is>
          <t>답</t>
        </is>
      </c>
      <c r="J11841" s="3" t="inlineStr">
        <is>
          <t>유구읍</t>
        </is>
      </c>
    </row>
    <row r="11842">
      <c r="A11842" s="3" t="n">
        <v>2025</v>
      </c>
      <c r="B11842" s="4" t="n">
        <v>3300</v>
      </c>
      <c r="C11842" s="4" t="n">
        <v>362</v>
      </c>
      <c r="D11842" s="4" t="n">
        <v>109.505</v>
      </c>
      <c r="E11842" s="5" t="n">
        <v>30.1</v>
      </c>
      <c r="F11842" s="3" t="inlineStr">
        <is>
          <t>유구읍</t>
        </is>
      </c>
      <c r="G11842" s="3" t="inlineStr">
        <is>
          <t>입석리</t>
        </is>
      </c>
      <c r="H11842" s="3" t="inlineStr">
        <is>
          <t>계획관리지역</t>
        </is>
      </c>
      <c r="I11842" s="3" t="inlineStr">
        <is>
          <t>대</t>
        </is>
      </c>
      <c r="J11842" s="3" t="inlineStr">
        <is>
          <t>유구읍</t>
        </is>
      </c>
    </row>
    <row r="11843">
      <c r="A11843" s="3" t="n">
        <v>2025</v>
      </c>
      <c r="B11843" s="4" t="n">
        <v>5300</v>
      </c>
      <c r="C11843" s="4" t="n">
        <v>1409</v>
      </c>
      <c r="D11843" s="4" t="n">
        <v>426.2225</v>
      </c>
      <c r="E11843" s="5" t="n">
        <v>12.4</v>
      </c>
      <c r="F11843" s="3" t="inlineStr">
        <is>
          <t>유구읍</t>
        </is>
      </c>
      <c r="G11843" s="3" t="inlineStr">
        <is>
          <t>만천리</t>
        </is>
      </c>
      <c r="H11843" s="3" t="inlineStr">
        <is>
          <t>농림지역</t>
        </is>
      </c>
      <c r="I11843" s="3" t="inlineStr">
        <is>
          <t>답</t>
        </is>
      </c>
      <c r="J11843" s="3" t="inlineStr">
        <is>
          <t>유구읍</t>
        </is>
      </c>
    </row>
    <row r="11844">
      <c r="A11844" s="3" t="n">
        <v>2025</v>
      </c>
      <c r="B11844" s="4" t="n">
        <v>3360</v>
      </c>
      <c r="C11844" s="4" t="n">
        <v>740</v>
      </c>
      <c r="D11844" s="4" t="n">
        <v>223.85</v>
      </c>
      <c r="E11844" s="5" t="n">
        <v>15</v>
      </c>
      <c r="F11844" s="3" t="inlineStr">
        <is>
          <t>유구읍</t>
        </is>
      </c>
      <c r="G11844" s="3" t="inlineStr">
        <is>
          <t>세동리</t>
        </is>
      </c>
      <c r="H11844" s="3" t="inlineStr">
        <is>
          <t>계획관리지역</t>
        </is>
      </c>
      <c r="I11844" s="3" t="inlineStr">
        <is>
          <t>전</t>
        </is>
      </c>
      <c r="J11844" s="3" t="inlineStr">
        <is>
          <t>유구읍</t>
        </is>
      </c>
    </row>
    <row r="11845">
      <c r="A11845" s="3" t="n">
        <v>2025</v>
      </c>
      <c r="B11845" s="4" t="n">
        <v>8600</v>
      </c>
      <c r="C11845" s="4" t="n">
        <v>2458</v>
      </c>
      <c r="D11845" s="4" t="n">
        <v>743.545</v>
      </c>
      <c r="E11845" s="5" t="n">
        <v>11.6</v>
      </c>
      <c r="F11845" s="3" t="inlineStr">
        <is>
          <t>유구읍</t>
        </is>
      </c>
      <c r="G11845" s="3" t="inlineStr">
        <is>
          <t>백교리</t>
        </is>
      </c>
      <c r="H11845" s="3" t="inlineStr">
        <is>
          <t>자연녹지지역</t>
        </is>
      </c>
      <c r="I11845" s="3" t="inlineStr">
        <is>
          <t>과수원</t>
        </is>
      </c>
      <c r="J11845" s="3" t="inlineStr">
        <is>
          <t>유구읍</t>
        </is>
      </c>
    </row>
    <row r="11846">
      <c r="A11846" s="3" t="n">
        <v>2025</v>
      </c>
      <c r="B11846" s="4" t="n">
        <v>1800</v>
      </c>
      <c r="C11846" s="4" t="n">
        <v>1250</v>
      </c>
      <c r="D11846" s="4" t="n">
        <v>378.125</v>
      </c>
      <c r="E11846" s="5" t="n">
        <v>4.8</v>
      </c>
      <c r="F11846" s="3" t="inlineStr">
        <is>
          <t>유구읍</t>
        </is>
      </c>
      <c r="G11846" s="3" t="inlineStr">
        <is>
          <t>백교리</t>
        </is>
      </c>
      <c r="H11846" s="3" t="inlineStr">
        <is>
          <t>자연녹지지역</t>
        </is>
      </c>
      <c r="I11846" s="3" t="inlineStr">
        <is>
          <t>과수원</t>
        </is>
      </c>
      <c r="J11846" s="3" t="inlineStr">
        <is>
          <t>유구읍</t>
        </is>
      </c>
    </row>
    <row r="11847">
      <c r="A11847" s="3" t="n">
        <v>2025</v>
      </c>
      <c r="B11847" s="4" t="n">
        <v>9600</v>
      </c>
      <c r="C11847" s="4" t="n">
        <v>2892</v>
      </c>
      <c r="D11847" s="4" t="n">
        <v>874.8299999999999</v>
      </c>
      <c r="E11847" s="5" t="n">
        <v>11</v>
      </c>
      <c r="F11847" s="3" t="inlineStr">
        <is>
          <t>유구읍</t>
        </is>
      </c>
      <c r="G11847" s="3" t="inlineStr">
        <is>
          <t>입석리</t>
        </is>
      </c>
      <c r="H11847" s="3" t="inlineStr">
        <is>
          <t>농림지역</t>
        </is>
      </c>
      <c r="I11847" s="3" t="inlineStr">
        <is>
          <t>답</t>
        </is>
      </c>
      <c r="J11847" s="3" t="inlineStr">
        <is>
          <t>유구읍</t>
        </is>
      </c>
    </row>
    <row r="11848">
      <c r="A11848" s="3" t="n">
        <v>2025</v>
      </c>
      <c r="B11848" s="4" t="n">
        <v>2400</v>
      </c>
      <c r="C11848" s="4" t="n">
        <v>364</v>
      </c>
      <c r="D11848" s="4" t="n">
        <v>110.11</v>
      </c>
      <c r="E11848" s="5" t="n">
        <v>21.8</v>
      </c>
      <c r="F11848" s="3" t="inlineStr">
        <is>
          <t>유구읍</t>
        </is>
      </c>
      <c r="G11848" s="3" t="inlineStr">
        <is>
          <t>명곡리</t>
        </is>
      </c>
      <c r="H11848" s="3" t="inlineStr">
        <is>
          <t>계획관리지역</t>
        </is>
      </c>
      <c r="I11848" s="3" t="inlineStr">
        <is>
          <t>대</t>
        </is>
      </c>
      <c r="J11848" s="3" t="inlineStr">
        <is>
          <t>유구읍</t>
        </is>
      </c>
    </row>
    <row r="11849">
      <c r="A11849" s="3" t="n">
        <v>2026</v>
      </c>
      <c r="B11849" s="4" t="n">
        <v>5750</v>
      </c>
      <c r="C11849" s="4" t="n">
        <v>382</v>
      </c>
      <c r="D11849" s="4" t="n">
        <v>115.555</v>
      </c>
      <c r="E11849" s="5" t="n">
        <v>49.8</v>
      </c>
      <c r="F11849" s="3" t="inlineStr">
        <is>
          <t>유구읍</t>
        </is>
      </c>
      <c r="G11849" s="3" t="inlineStr">
        <is>
          <t>백교리</t>
        </is>
      </c>
      <c r="H11849" s="3" t="inlineStr">
        <is>
          <t>일반상업지역</t>
        </is>
      </c>
      <c r="I11849" s="3" t="inlineStr">
        <is>
          <t>답</t>
        </is>
      </c>
      <c r="J11849" s="3" t="inlineStr">
        <is>
          <t>유구읍</t>
        </is>
      </c>
    </row>
    <row r="11850">
      <c r="A11850" s="3" t="n">
        <v>2026</v>
      </c>
      <c r="B11850" s="4" t="n">
        <v>8000</v>
      </c>
      <c r="C11850" s="4" t="n">
        <v>2929</v>
      </c>
      <c r="D11850" s="4" t="n">
        <v>886.0224999999999</v>
      </c>
      <c r="E11850" s="5" t="n">
        <v>9</v>
      </c>
      <c r="F11850" s="3" t="inlineStr">
        <is>
          <t>유구읍</t>
        </is>
      </c>
      <c r="G11850" s="3" t="inlineStr">
        <is>
          <t>만천리</t>
        </is>
      </c>
      <c r="H11850" s="3" t="inlineStr">
        <is>
          <t>농림지역</t>
        </is>
      </c>
      <c r="I11850" s="3" t="inlineStr">
        <is>
          <t>답</t>
        </is>
      </c>
      <c r="J11850" s="3" t="inlineStr">
        <is>
          <t>유구읍</t>
        </is>
      </c>
    </row>
    <row r="11851">
      <c r="A11851" s="3" t="n">
        <v>2026</v>
      </c>
      <c r="B11851" s="4" t="n">
        <v>4000</v>
      </c>
      <c r="C11851" s="4" t="n">
        <v>1326</v>
      </c>
      <c r="D11851" s="4" t="n">
        <v>401.115</v>
      </c>
      <c r="E11851" s="5" t="n">
        <v>10</v>
      </c>
      <c r="F11851" s="3" t="inlineStr">
        <is>
          <t>유구읍</t>
        </is>
      </c>
      <c r="G11851" s="3" t="inlineStr">
        <is>
          <t>동해리</t>
        </is>
      </c>
      <c r="H11851" s="3" t="inlineStr">
        <is>
          <t>계획관리지역</t>
        </is>
      </c>
      <c r="I11851" s="3" t="inlineStr">
        <is>
          <t>전</t>
        </is>
      </c>
      <c r="J11851" s="3" t="inlineStr">
        <is>
          <t>유구읍</t>
        </is>
      </c>
    </row>
    <row r="11852">
      <c r="A11852" s="3" t="n">
        <v>2026</v>
      </c>
      <c r="B11852" s="4" t="n">
        <v>1900</v>
      </c>
      <c r="C11852" s="4" t="n">
        <v>60</v>
      </c>
      <c r="D11852" s="4" t="n">
        <v>18.15</v>
      </c>
      <c r="E11852" s="5" t="n">
        <v>104.7</v>
      </c>
      <c r="F11852" s="3" t="inlineStr">
        <is>
          <t>유구읍</t>
        </is>
      </c>
      <c r="G11852" s="3" t="inlineStr">
        <is>
          <t>백교리</t>
        </is>
      </c>
      <c r="H11852" s="3" t="inlineStr">
        <is>
          <t>제2종일반주거지역</t>
        </is>
      </c>
      <c r="I11852" s="3" t="inlineStr">
        <is>
          <t>답</t>
        </is>
      </c>
      <c r="J11852" s="3" t="inlineStr">
        <is>
          <t>유구읍</t>
        </is>
      </c>
    </row>
    <row r="11853">
      <c r="A11853" s="3" t="n">
        <v>2025</v>
      </c>
      <c r="B11853" s="4" t="n">
        <v>5100</v>
      </c>
      <c r="C11853" s="4" t="n">
        <v>317</v>
      </c>
      <c r="D11853" s="4" t="n">
        <v>95.8925</v>
      </c>
      <c r="E11853" s="5" t="n">
        <v>53.2</v>
      </c>
      <c r="F11853" s="3" t="inlineStr">
        <is>
          <t>유구읍</t>
        </is>
      </c>
      <c r="G11853" s="3" t="inlineStr">
        <is>
          <t>입석리</t>
        </is>
      </c>
      <c r="H11853" s="3" t="inlineStr">
        <is>
          <t>계획관리지역</t>
        </is>
      </c>
      <c r="I11853" s="3" t="inlineStr">
        <is>
          <t>대</t>
        </is>
      </c>
      <c r="J11853" s="3" t="inlineStr">
        <is>
          <t>유구읍</t>
        </is>
      </c>
    </row>
    <row r="11854">
      <c r="A11854" s="3" t="n">
        <v>2025</v>
      </c>
      <c r="B11854" s="4" t="n">
        <v>2000</v>
      </c>
      <c r="C11854" s="4" t="n">
        <v>435</v>
      </c>
      <c r="D11854" s="4" t="n">
        <v>131.5875</v>
      </c>
      <c r="E11854" s="5" t="n">
        <v>15.2</v>
      </c>
      <c r="F11854" s="3" t="inlineStr">
        <is>
          <t>유구읍</t>
        </is>
      </c>
      <c r="G11854" s="3" t="inlineStr">
        <is>
          <t>녹천리</t>
        </is>
      </c>
      <c r="H11854" s="3" t="inlineStr">
        <is>
          <t>계획관리지역</t>
        </is>
      </c>
      <c r="I11854" s="3" t="inlineStr">
        <is>
          <t>전</t>
        </is>
      </c>
      <c r="J11854" s="3" t="inlineStr">
        <is>
          <t>유구읍</t>
        </is>
      </c>
    </row>
    <row r="11855">
      <c r="A11855" s="3" t="n">
        <v>2025</v>
      </c>
      <c r="B11855" s="4" t="n">
        <v>1000</v>
      </c>
      <c r="C11855" s="4" t="n">
        <v>138</v>
      </c>
      <c r="D11855" s="4" t="n">
        <v>41.745</v>
      </c>
      <c r="E11855" s="5" t="n">
        <v>24</v>
      </c>
      <c r="F11855" s="3" t="inlineStr">
        <is>
          <t>유구읍</t>
        </is>
      </c>
      <c r="G11855" s="3" t="inlineStr">
        <is>
          <t>녹천리</t>
        </is>
      </c>
      <c r="H11855" s="3" t="inlineStr">
        <is>
          <t>계획관리지역</t>
        </is>
      </c>
      <c r="I11855" s="3" t="inlineStr">
        <is>
          <t>전</t>
        </is>
      </c>
      <c r="J11855" s="3" t="inlineStr">
        <is>
          <t>유구읍</t>
        </is>
      </c>
    </row>
    <row r="11856">
      <c r="A11856" s="3" t="n">
        <v>2025</v>
      </c>
      <c r="B11856" s="4" t="n">
        <v>5050</v>
      </c>
      <c r="C11856" s="4" t="n">
        <v>672</v>
      </c>
      <c r="D11856" s="4" t="n">
        <v>203.28</v>
      </c>
      <c r="E11856" s="5" t="n">
        <v>24.8</v>
      </c>
      <c r="F11856" s="3" t="inlineStr">
        <is>
          <t>유구읍</t>
        </is>
      </c>
      <c r="G11856" s="3" t="inlineStr">
        <is>
          <t>만천리</t>
        </is>
      </c>
      <c r="H11856" s="3" t="inlineStr">
        <is>
          <t>농림지역</t>
        </is>
      </c>
      <c r="I11856" s="3" t="inlineStr">
        <is>
          <t>전</t>
        </is>
      </c>
      <c r="J11856" s="3" t="inlineStr">
        <is>
          <t>유구읍</t>
        </is>
      </c>
    </row>
    <row r="11857">
      <c r="A11857" s="3" t="n">
        <v>2025</v>
      </c>
      <c r="B11857" s="4" t="n">
        <v>6835</v>
      </c>
      <c r="C11857" s="4" t="n">
        <v>889</v>
      </c>
      <c r="D11857" s="4" t="n">
        <v>268.9225</v>
      </c>
      <c r="E11857" s="5" t="n">
        <v>25.4</v>
      </c>
      <c r="F11857" s="3" t="inlineStr">
        <is>
          <t>유구읍</t>
        </is>
      </c>
      <c r="G11857" s="3" t="inlineStr">
        <is>
          <t>만천리</t>
        </is>
      </c>
      <c r="H11857" s="3" t="inlineStr">
        <is>
          <t>계획관리지역</t>
        </is>
      </c>
      <c r="I11857" s="3" t="inlineStr">
        <is>
          <t>대</t>
        </is>
      </c>
      <c r="J11857" s="3" t="inlineStr">
        <is>
          <t>유구읍</t>
        </is>
      </c>
    </row>
    <row r="11858">
      <c r="A11858" s="3" t="n">
        <v>2025</v>
      </c>
      <c r="B11858" s="4" t="n">
        <v>1420</v>
      </c>
      <c r="C11858" s="4" t="n">
        <v>444</v>
      </c>
      <c r="D11858" s="4" t="n">
        <v>134.31</v>
      </c>
      <c r="E11858" s="5" t="n">
        <v>10.6</v>
      </c>
      <c r="F11858" s="3" t="inlineStr">
        <is>
          <t>유구읍</t>
        </is>
      </c>
      <c r="G11858" s="3" t="inlineStr">
        <is>
          <t>노동리</t>
        </is>
      </c>
      <c r="H11858" s="3" t="inlineStr">
        <is>
          <t>계획관리지역</t>
        </is>
      </c>
      <c r="I11858" s="3" t="inlineStr">
        <is>
          <t>답</t>
        </is>
      </c>
      <c r="J11858" s="3" t="inlineStr">
        <is>
          <t>유구읍</t>
        </is>
      </c>
    </row>
    <row r="11859">
      <c r="A11859" s="3" t="n">
        <v>2025</v>
      </c>
      <c r="B11859" s="4" t="n">
        <v>4907</v>
      </c>
      <c r="C11859" s="4" t="n">
        <v>1029</v>
      </c>
      <c r="D11859" s="4" t="n">
        <v>311.2725</v>
      </c>
      <c r="E11859" s="5" t="n">
        <v>15.8</v>
      </c>
      <c r="F11859" s="3" t="inlineStr">
        <is>
          <t>유구읍</t>
        </is>
      </c>
      <c r="G11859" s="3" t="inlineStr">
        <is>
          <t>노동리</t>
        </is>
      </c>
      <c r="H11859" s="3" t="inlineStr">
        <is>
          <t>계획관리지역</t>
        </is>
      </c>
      <c r="I11859" s="3" t="inlineStr">
        <is>
          <t>답</t>
        </is>
      </c>
      <c r="J11859" s="3" t="inlineStr">
        <is>
          <t>유구읍</t>
        </is>
      </c>
    </row>
    <row r="11860">
      <c r="A11860" s="3" t="n">
        <v>2025</v>
      </c>
      <c r="B11860" s="4" t="n">
        <v>406</v>
      </c>
      <c r="C11860" s="4" t="n">
        <v>127</v>
      </c>
      <c r="D11860" s="4" t="n">
        <v>38.4175</v>
      </c>
      <c r="E11860" s="5" t="n">
        <v>10.6</v>
      </c>
      <c r="F11860" s="3" t="inlineStr">
        <is>
          <t>유구읍</t>
        </is>
      </c>
      <c r="G11860" s="3" t="inlineStr">
        <is>
          <t>노동리</t>
        </is>
      </c>
      <c r="H11860" s="3" t="inlineStr">
        <is>
          <t>계획관리지역</t>
        </is>
      </c>
      <c r="I11860" s="3" t="inlineStr">
        <is>
          <t>답</t>
        </is>
      </c>
      <c r="J11860" s="3" t="inlineStr">
        <is>
          <t>유구읍</t>
        </is>
      </c>
    </row>
    <row r="11861">
      <c r="A11861" s="3" t="n">
        <v>2025</v>
      </c>
      <c r="B11861" s="4" t="n">
        <v>1395</v>
      </c>
      <c r="C11861" s="4" t="n">
        <v>210</v>
      </c>
      <c r="D11861" s="4" t="n">
        <v>63.525</v>
      </c>
      <c r="E11861" s="5" t="n">
        <v>22</v>
      </c>
      <c r="F11861" s="3" t="inlineStr">
        <is>
          <t>유구읍</t>
        </is>
      </c>
      <c r="G11861" s="3" t="inlineStr">
        <is>
          <t>노동리</t>
        </is>
      </c>
      <c r="H11861" s="3" t="inlineStr">
        <is>
          <t>계획관리지역</t>
        </is>
      </c>
      <c r="I11861" s="3" t="inlineStr">
        <is>
          <t>답</t>
        </is>
      </c>
      <c r="J11861" s="3" t="inlineStr">
        <is>
          <t>유구읍</t>
        </is>
      </c>
    </row>
    <row r="11862">
      <c r="A11862" s="3" t="n">
        <v>2025</v>
      </c>
      <c r="B11862" s="4" t="n">
        <v>1802</v>
      </c>
      <c r="C11862" s="4" t="n">
        <v>378</v>
      </c>
      <c r="D11862" s="4" t="n">
        <v>114.345</v>
      </c>
      <c r="E11862" s="5" t="n">
        <v>15.8</v>
      </c>
      <c r="F11862" s="3" t="inlineStr">
        <is>
          <t>유구읍</t>
        </is>
      </c>
      <c r="G11862" s="3" t="inlineStr">
        <is>
          <t>노동리</t>
        </is>
      </c>
      <c r="H11862" s="3" t="inlineStr">
        <is>
          <t>계획관리지역</t>
        </is>
      </c>
      <c r="I11862" s="3" t="inlineStr">
        <is>
          <t>답</t>
        </is>
      </c>
      <c r="J11862" s="3" t="inlineStr">
        <is>
          <t>유구읍</t>
        </is>
      </c>
    </row>
    <row r="11863">
      <c r="A11863" s="3" t="n">
        <v>2025</v>
      </c>
      <c r="B11863" s="4" t="n">
        <v>6838</v>
      </c>
      <c r="C11863" s="4" t="n">
        <v>593</v>
      </c>
      <c r="D11863" s="4" t="n">
        <v>179.3825</v>
      </c>
      <c r="E11863" s="5" t="n">
        <v>38.1</v>
      </c>
      <c r="F11863" s="3" t="inlineStr">
        <is>
          <t>유구읍</t>
        </is>
      </c>
      <c r="G11863" s="3" t="inlineStr">
        <is>
          <t>석남리</t>
        </is>
      </c>
      <c r="H11863" s="3" t="inlineStr">
        <is>
          <t>자연녹지지역</t>
        </is>
      </c>
      <c r="I11863" s="3" t="inlineStr">
        <is>
          <t>답</t>
        </is>
      </c>
      <c r="J11863" s="3" t="inlineStr">
        <is>
          <t>유구읍</t>
        </is>
      </c>
    </row>
    <row r="11864">
      <c r="A11864" s="3" t="n">
        <v>2025</v>
      </c>
      <c r="B11864" s="4" t="n">
        <v>1833</v>
      </c>
      <c r="C11864" s="4" t="n">
        <v>159</v>
      </c>
      <c r="D11864" s="4" t="n">
        <v>48.0975</v>
      </c>
      <c r="E11864" s="5" t="n">
        <v>38.1</v>
      </c>
      <c r="F11864" s="3" t="inlineStr">
        <is>
          <t>유구읍</t>
        </is>
      </c>
      <c r="G11864" s="3" t="inlineStr">
        <is>
          <t>석남리</t>
        </is>
      </c>
      <c r="H11864" s="3" t="inlineStr">
        <is>
          <t>자연녹지지역</t>
        </is>
      </c>
      <c r="I11864" s="3" t="inlineStr">
        <is>
          <t>답</t>
        </is>
      </c>
      <c r="J11864" s="3" t="inlineStr">
        <is>
          <t>유구읍</t>
        </is>
      </c>
    </row>
    <row r="11865">
      <c r="A11865" s="3" t="n">
        <v>2025</v>
      </c>
      <c r="B11865" s="4" t="n">
        <v>2500</v>
      </c>
      <c r="C11865" s="4" t="n">
        <v>605</v>
      </c>
      <c r="D11865" s="4" t="n">
        <v>183.0125</v>
      </c>
      <c r="E11865" s="5" t="n">
        <v>13.7</v>
      </c>
      <c r="F11865" s="3" t="inlineStr">
        <is>
          <t>유구읍</t>
        </is>
      </c>
      <c r="G11865" s="3" t="inlineStr">
        <is>
          <t>동해리</t>
        </is>
      </c>
      <c r="H11865" s="3" t="inlineStr">
        <is>
          <t>생산관리지역</t>
        </is>
      </c>
      <c r="I11865" s="3" t="inlineStr">
        <is>
          <t>답</t>
        </is>
      </c>
      <c r="J11865" s="3" t="inlineStr">
        <is>
          <t>유구읍</t>
        </is>
      </c>
    </row>
    <row r="11866">
      <c r="A11866" s="3" t="n">
        <v>2025</v>
      </c>
      <c r="B11866" s="4" t="n">
        <v>2091</v>
      </c>
      <c r="C11866" s="4" t="n">
        <v>661</v>
      </c>
      <c r="D11866" s="4" t="n">
        <v>199.9525</v>
      </c>
      <c r="E11866" s="5" t="n">
        <v>10.5</v>
      </c>
      <c r="F11866" s="3" t="inlineStr">
        <is>
          <t>유구읍</t>
        </is>
      </c>
      <c r="G11866" s="3" t="inlineStr">
        <is>
          <t>백교리</t>
        </is>
      </c>
      <c r="H11866" s="3" t="inlineStr">
        <is>
          <t>계획관리지역</t>
        </is>
      </c>
      <c r="I11866" s="3" t="inlineStr">
        <is>
          <t>답</t>
        </is>
      </c>
      <c r="J11866" s="3" t="inlineStr">
        <is>
          <t>유구읍</t>
        </is>
      </c>
    </row>
    <row r="11867">
      <c r="A11867" s="3" t="n">
        <v>2025</v>
      </c>
      <c r="B11867" s="4" t="n">
        <v>5909</v>
      </c>
      <c r="C11867" s="4" t="n">
        <v>660</v>
      </c>
      <c r="D11867" s="4" t="n">
        <v>199.65</v>
      </c>
      <c r="E11867" s="5" t="n">
        <v>29.6</v>
      </c>
      <c r="F11867" s="3" t="inlineStr">
        <is>
          <t>유구읍</t>
        </is>
      </c>
      <c r="G11867" s="3" t="inlineStr">
        <is>
          <t>백교리</t>
        </is>
      </c>
      <c r="H11867" s="3" t="inlineStr">
        <is>
          <t>계획관리지역</t>
        </is>
      </c>
      <c r="I11867" s="3" t="inlineStr">
        <is>
          <t>대</t>
        </is>
      </c>
      <c r="J11867" s="3" t="inlineStr">
        <is>
          <t>유구읍</t>
        </is>
      </c>
    </row>
    <row r="11868">
      <c r="A11868" s="3" t="n">
        <v>2025</v>
      </c>
      <c r="B11868" s="4" t="n">
        <v>3200</v>
      </c>
      <c r="C11868" s="4" t="n">
        <v>427</v>
      </c>
      <c r="D11868" s="4" t="n">
        <v>129.1675</v>
      </c>
      <c r="E11868" s="5" t="n">
        <v>24.8</v>
      </c>
      <c r="F11868" s="3" t="inlineStr">
        <is>
          <t>유구읍</t>
        </is>
      </c>
      <c r="G11868" s="3" t="inlineStr">
        <is>
          <t>입석리</t>
        </is>
      </c>
      <c r="H11868" s="3" t="inlineStr">
        <is>
          <t>계획관리지역</t>
        </is>
      </c>
      <c r="I11868" s="3" t="inlineStr">
        <is>
          <t>대</t>
        </is>
      </c>
      <c r="J11868" s="3" t="inlineStr">
        <is>
          <t>유구읍</t>
        </is>
      </c>
    </row>
    <row r="11869">
      <c r="A11869" s="3" t="n">
        <v>2025</v>
      </c>
      <c r="B11869" s="4" t="n">
        <v>3940</v>
      </c>
      <c r="C11869" s="4" t="n">
        <v>235</v>
      </c>
      <c r="D11869" s="4" t="n">
        <v>71.08749999999999</v>
      </c>
      <c r="E11869" s="5" t="n">
        <v>55.4</v>
      </c>
      <c r="F11869" s="3" t="inlineStr">
        <is>
          <t>유구읍</t>
        </is>
      </c>
      <c r="G11869" s="3" t="inlineStr">
        <is>
          <t>유구리</t>
        </is>
      </c>
      <c r="H11869" s="3" t="inlineStr">
        <is>
          <t>제2종일반주거지역</t>
        </is>
      </c>
      <c r="I11869" s="3" t="inlineStr">
        <is>
          <t>전</t>
        </is>
      </c>
      <c r="J11869" s="3" t="inlineStr">
        <is>
          <t>유구읍</t>
        </is>
      </c>
    </row>
    <row r="11870">
      <c r="A11870" s="3" t="n">
        <v>2025</v>
      </c>
      <c r="B11870" s="4" t="n">
        <v>2050</v>
      </c>
      <c r="C11870" s="4" t="n">
        <v>129</v>
      </c>
      <c r="D11870" s="4" t="n">
        <v>39.0225</v>
      </c>
      <c r="E11870" s="5" t="n">
        <v>52.5</v>
      </c>
      <c r="F11870" s="3" t="inlineStr">
        <is>
          <t>유구읍</t>
        </is>
      </c>
      <c r="G11870" s="3" t="inlineStr">
        <is>
          <t>유구리</t>
        </is>
      </c>
      <c r="H11870" s="3" t="inlineStr">
        <is>
          <t>제2종일반주거지역</t>
        </is>
      </c>
      <c r="I11870" s="3" t="inlineStr">
        <is>
          <t>전</t>
        </is>
      </c>
      <c r="J11870" s="3" t="inlineStr">
        <is>
          <t>유구읍</t>
        </is>
      </c>
    </row>
    <row r="11871">
      <c r="A11871" s="3" t="n">
        <v>2025</v>
      </c>
      <c r="B11871" s="4" t="n">
        <v>2810</v>
      </c>
      <c r="C11871" s="4" t="n">
        <v>129</v>
      </c>
      <c r="D11871" s="4" t="n">
        <v>39.0225</v>
      </c>
      <c r="E11871" s="5" t="n">
        <v>72</v>
      </c>
      <c r="F11871" s="3" t="inlineStr">
        <is>
          <t>유구읍</t>
        </is>
      </c>
      <c r="G11871" s="3" t="inlineStr">
        <is>
          <t>유구리</t>
        </is>
      </c>
      <c r="H11871" s="3" t="inlineStr">
        <is>
          <t>제2종일반주거지역</t>
        </is>
      </c>
      <c r="I11871" s="3" t="inlineStr">
        <is>
          <t>하천</t>
        </is>
      </c>
      <c r="J11871" s="3" t="inlineStr">
        <is>
          <t>유구읍</t>
        </is>
      </c>
    </row>
    <row r="11872">
      <c r="A11872" s="3" t="n">
        <v>2025</v>
      </c>
      <c r="B11872" s="4" t="n">
        <v>2800</v>
      </c>
      <c r="C11872" s="4" t="n">
        <v>267</v>
      </c>
      <c r="D11872" s="4" t="n">
        <v>80.7675</v>
      </c>
      <c r="E11872" s="5" t="n">
        <v>34.7</v>
      </c>
      <c r="F11872" s="3" t="inlineStr">
        <is>
          <t>유구읍</t>
        </is>
      </c>
      <c r="G11872" s="3" t="inlineStr">
        <is>
          <t>백교리</t>
        </is>
      </c>
      <c r="H11872" s="3" t="inlineStr">
        <is>
          <t>제2종일반주거지역</t>
        </is>
      </c>
      <c r="I11872" s="3" t="inlineStr">
        <is>
          <t>답</t>
        </is>
      </c>
      <c r="J11872" s="3" t="inlineStr">
        <is>
          <t>유구읍</t>
        </is>
      </c>
    </row>
    <row r="11873">
      <c r="A11873" s="3" t="n">
        <v>2025</v>
      </c>
      <c r="B11873" s="4" t="n">
        <v>3000</v>
      </c>
      <c r="C11873" s="4" t="n">
        <v>1010</v>
      </c>
      <c r="D11873" s="4" t="n">
        <v>305.525</v>
      </c>
      <c r="E11873" s="5" t="n">
        <v>9.800000000000001</v>
      </c>
      <c r="F11873" s="3" t="inlineStr">
        <is>
          <t>유구읍</t>
        </is>
      </c>
      <c r="G11873" s="3" t="inlineStr">
        <is>
          <t>유구리</t>
        </is>
      </c>
      <c r="H11873" s="3" t="inlineStr">
        <is>
          <t>계획관리지역</t>
        </is>
      </c>
      <c r="I11873" s="3" t="inlineStr">
        <is>
          <t>답</t>
        </is>
      </c>
      <c r="J11873" s="3" t="inlineStr">
        <is>
          <t>유구읍</t>
        </is>
      </c>
    </row>
    <row r="11874">
      <c r="A11874" s="3" t="n">
        <v>2026</v>
      </c>
      <c r="B11874" s="4" t="n">
        <v>6960</v>
      </c>
      <c r="C11874" s="4" t="n">
        <v>578</v>
      </c>
      <c r="D11874" s="4" t="n">
        <v>174.845</v>
      </c>
      <c r="E11874" s="5" t="n">
        <v>39.8</v>
      </c>
      <c r="F11874" s="3" t="inlineStr">
        <is>
          <t>유구읍</t>
        </is>
      </c>
      <c r="G11874" s="3" t="inlineStr">
        <is>
          <t>만천리</t>
        </is>
      </c>
      <c r="H11874" s="3" t="inlineStr">
        <is>
          <t>계획관리지역</t>
        </is>
      </c>
      <c r="I11874" s="3" t="inlineStr">
        <is>
          <t>전</t>
        </is>
      </c>
      <c r="J11874" s="3" t="inlineStr">
        <is>
          <t>유구읍</t>
        </is>
      </c>
    </row>
    <row r="11875">
      <c r="A11875" s="3" t="n">
        <v>2026</v>
      </c>
      <c r="B11875" s="4" t="n">
        <v>5800</v>
      </c>
      <c r="C11875" s="4" t="n">
        <v>496</v>
      </c>
      <c r="D11875" s="4" t="n">
        <v>150.04</v>
      </c>
      <c r="E11875" s="5" t="n">
        <v>38.7</v>
      </c>
      <c r="F11875" s="3" t="inlineStr">
        <is>
          <t>유구읍</t>
        </is>
      </c>
      <c r="G11875" s="3" t="inlineStr">
        <is>
          <t>문금리</t>
        </is>
      </c>
      <c r="H11875" s="3" t="inlineStr">
        <is>
          <t>계획관리지역</t>
        </is>
      </c>
      <c r="I11875" s="3" t="inlineStr">
        <is>
          <t>전</t>
        </is>
      </c>
      <c r="J11875" s="3" t="inlineStr">
        <is>
          <t>유구읍</t>
        </is>
      </c>
    </row>
    <row r="11876">
      <c r="A11876" s="3" t="n">
        <v>2026</v>
      </c>
      <c r="B11876" s="4" t="n">
        <v>6900</v>
      </c>
      <c r="C11876" s="4" t="n">
        <v>1898</v>
      </c>
      <c r="D11876" s="4" t="n">
        <v>574.145</v>
      </c>
      <c r="E11876" s="5" t="n">
        <v>12</v>
      </c>
      <c r="F11876" s="3" t="inlineStr">
        <is>
          <t>유구읍</t>
        </is>
      </c>
      <c r="G11876" s="3" t="inlineStr">
        <is>
          <t>만천리</t>
        </is>
      </c>
      <c r="H11876" s="3" t="inlineStr">
        <is>
          <t>농림지역</t>
        </is>
      </c>
      <c r="I11876" s="3" t="inlineStr">
        <is>
          <t>답</t>
        </is>
      </c>
      <c r="J11876" s="3" t="inlineStr">
        <is>
          <t>유구읍</t>
        </is>
      </c>
    </row>
    <row r="11877">
      <c r="A11877" s="3" t="n">
        <v>2026</v>
      </c>
      <c r="B11877" s="4" t="n">
        <v>3490</v>
      </c>
      <c r="C11877" s="4" t="n">
        <v>964</v>
      </c>
      <c r="D11877" s="4" t="n">
        <v>291.61</v>
      </c>
      <c r="E11877" s="5" t="n">
        <v>12</v>
      </c>
      <c r="F11877" s="3" t="inlineStr">
        <is>
          <t>유구읍</t>
        </is>
      </c>
      <c r="G11877" s="3" t="inlineStr">
        <is>
          <t>만천리</t>
        </is>
      </c>
      <c r="H11877" s="3" t="inlineStr">
        <is>
          <t>농림지역</t>
        </is>
      </c>
      <c r="I11877" s="3" t="inlineStr">
        <is>
          <t>답</t>
        </is>
      </c>
      <c r="J11877" s="3" t="inlineStr">
        <is>
          <t>유구읍</t>
        </is>
      </c>
    </row>
    <row r="11878">
      <c r="A11878" s="3" t="n">
        <v>2026</v>
      </c>
      <c r="B11878" s="4" t="n">
        <v>3850</v>
      </c>
      <c r="C11878" s="4" t="n">
        <v>660</v>
      </c>
      <c r="D11878" s="4" t="n">
        <v>199.65</v>
      </c>
      <c r="E11878" s="5" t="n">
        <v>19.3</v>
      </c>
      <c r="F11878" s="3" t="inlineStr">
        <is>
          <t>유구읍</t>
        </is>
      </c>
      <c r="G11878" s="3" t="inlineStr">
        <is>
          <t>신영리</t>
        </is>
      </c>
      <c r="H11878" s="3" t="inlineStr">
        <is>
          <t>농림지역</t>
        </is>
      </c>
      <c r="I11878" s="3" t="inlineStr">
        <is>
          <t>전</t>
        </is>
      </c>
      <c r="J11878" s="3" t="inlineStr">
        <is>
          <t>유구읍</t>
        </is>
      </c>
    </row>
    <row r="11879">
      <c r="A11879" s="3" t="n">
        <v>2026</v>
      </c>
      <c r="B11879" s="4" t="n">
        <v>4850</v>
      </c>
      <c r="C11879" s="4" t="n">
        <v>830</v>
      </c>
      <c r="D11879" s="4" t="n">
        <v>251.075</v>
      </c>
      <c r="E11879" s="5" t="n">
        <v>19.3</v>
      </c>
      <c r="F11879" s="3" t="inlineStr">
        <is>
          <t>유구읍</t>
        </is>
      </c>
      <c r="G11879" s="3" t="inlineStr">
        <is>
          <t>신영리</t>
        </is>
      </c>
      <c r="H11879" s="3" t="inlineStr">
        <is>
          <t>농림지역</t>
        </is>
      </c>
      <c r="I11879" s="3" t="inlineStr">
        <is>
          <t>전</t>
        </is>
      </c>
      <c r="J11879" s="3" t="inlineStr">
        <is>
          <t>유구읍</t>
        </is>
      </c>
    </row>
    <row r="11880">
      <c r="A11880" s="3" t="n">
        <v>2026</v>
      </c>
      <c r="B11880" s="4" t="n">
        <v>10000</v>
      </c>
      <c r="C11880" s="4" t="n">
        <v>14182</v>
      </c>
      <c r="D11880" s="4" t="n">
        <v>4290.055</v>
      </c>
      <c r="E11880" s="5" t="n">
        <v>2.3</v>
      </c>
      <c r="F11880" s="3" t="inlineStr">
        <is>
          <t>유구읍</t>
        </is>
      </c>
      <c r="G11880" s="3" t="inlineStr">
        <is>
          <t>탑곡리</t>
        </is>
      </c>
      <c r="H11880" s="3" t="inlineStr">
        <is>
          <t>농림지역</t>
        </is>
      </c>
      <c r="I11880" s="3" t="inlineStr">
        <is>
          <t>임야</t>
        </is>
      </c>
      <c r="J11880" s="3" t="inlineStr">
        <is>
          <t>유구읍</t>
        </is>
      </c>
    </row>
    <row r="11881">
      <c r="A11881" s="3" t="n">
        <v>2026</v>
      </c>
      <c r="B11881" s="4" t="n">
        <v>2056</v>
      </c>
      <c r="C11881" s="4" t="n">
        <v>645</v>
      </c>
      <c r="D11881" s="4" t="n">
        <v>195.1125</v>
      </c>
      <c r="E11881" s="5" t="n">
        <v>10.5</v>
      </c>
      <c r="F11881" s="3" t="inlineStr">
        <is>
          <t>유구읍</t>
        </is>
      </c>
      <c r="G11881" s="3" t="inlineStr">
        <is>
          <t>신영리</t>
        </is>
      </c>
      <c r="H11881" s="3" t="inlineStr">
        <is>
          <t>농림지역</t>
        </is>
      </c>
      <c r="I11881" s="3" t="inlineStr">
        <is>
          <t>전</t>
        </is>
      </c>
      <c r="J11881" s="3" t="inlineStr">
        <is>
          <t>유구읍</t>
        </is>
      </c>
    </row>
    <row r="11882">
      <c r="A11882" s="3" t="n">
        <v>2026</v>
      </c>
      <c r="B11882" s="4" t="n">
        <v>2444</v>
      </c>
      <c r="C11882" s="4" t="n">
        <v>767</v>
      </c>
      <c r="D11882" s="4" t="n">
        <v>232.0175</v>
      </c>
      <c r="E11882" s="5" t="n">
        <v>10.5</v>
      </c>
      <c r="F11882" s="3" t="inlineStr">
        <is>
          <t>유구읍</t>
        </is>
      </c>
      <c r="G11882" s="3" t="inlineStr">
        <is>
          <t>신영리</t>
        </is>
      </c>
      <c r="H11882" s="3" t="inlineStr">
        <is>
          <t>농림지역</t>
        </is>
      </c>
      <c r="I11882" s="3" t="inlineStr">
        <is>
          <t>전</t>
        </is>
      </c>
      <c r="J11882" s="3" t="inlineStr">
        <is>
          <t>유구읍</t>
        </is>
      </c>
    </row>
    <row r="11883">
      <c r="A11883" s="3" t="n">
        <v>2026</v>
      </c>
      <c r="B11883" s="4" t="n">
        <v>6000</v>
      </c>
      <c r="C11883" s="4" t="n">
        <v>1769</v>
      </c>
      <c r="D11883" s="4" t="n">
        <v>535.1224999999999</v>
      </c>
      <c r="E11883" s="5" t="n">
        <v>11.2</v>
      </c>
      <c r="F11883" s="3" t="inlineStr">
        <is>
          <t>유구읍</t>
        </is>
      </c>
      <c r="G11883" s="3" t="inlineStr">
        <is>
          <t>문금리</t>
        </is>
      </c>
      <c r="H11883" s="3" t="inlineStr">
        <is>
          <t>계획관리지역</t>
        </is>
      </c>
      <c r="I11883" s="3" t="inlineStr">
        <is>
          <t>답</t>
        </is>
      </c>
      <c r="J11883" s="3" t="inlineStr">
        <is>
          <t>유구읍</t>
        </is>
      </c>
    </row>
    <row r="11884">
      <c r="A11884" s="3" t="n">
        <v>2026</v>
      </c>
      <c r="B11884" s="4" t="n">
        <v>1537</v>
      </c>
      <c r="C11884" s="4" t="n">
        <v>3154</v>
      </c>
      <c r="D11884" s="4" t="n">
        <v>954.0849999999999</v>
      </c>
      <c r="E11884" s="5" t="n">
        <v>1.6</v>
      </c>
      <c r="F11884" s="3" t="inlineStr">
        <is>
          <t>유구읍</t>
        </is>
      </c>
      <c r="G11884" s="3" t="inlineStr">
        <is>
          <t>유구리</t>
        </is>
      </c>
      <c r="H11884" s="3" t="inlineStr">
        <is>
          <t>보전관리지역</t>
        </is>
      </c>
      <c r="I11884" s="3" t="inlineStr">
        <is>
          <t>답</t>
        </is>
      </c>
      <c r="J11884" s="3" t="inlineStr">
        <is>
          <t>유구읍</t>
        </is>
      </c>
    </row>
    <row r="11885">
      <c r="A11885" s="3" t="n">
        <v>2026</v>
      </c>
      <c r="B11885" s="4" t="n">
        <v>63</v>
      </c>
      <c r="C11885" s="4" t="n">
        <v>129</v>
      </c>
      <c r="D11885" s="4" t="n">
        <v>39.0225</v>
      </c>
      <c r="E11885" s="5" t="n">
        <v>1.6</v>
      </c>
      <c r="F11885" s="3" t="inlineStr">
        <is>
          <t>유구읍</t>
        </is>
      </c>
      <c r="G11885" s="3" t="inlineStr">
        <is>
          <t>유구리</t>
        </is>
      </c>
      <c r="H11885" s="3" t="inlineStr">
        <is>
          <t>보전관리지역</t>
        </is>
      </c>
      <c r="I11885" s="3" t="inlineStr">
        <is>
          <t>답</t>
        </is>
      </c>
      <c r="J11885" s="3" t="inlineStr">
        <is>
          <t>유구읍</t>
        </is>
      </c>
    </row>
    <row r="11886">
      <c r="A11886" s="3" t="n">
        <v>2026</v>
      </c>
      <c r="B11886" s="4" t="n">
        <v>1547</v>
      </c>
      <c r="C11886" s="4" t="n">
        <v>302</v>
      </c>
      <c r="D11886" s="4" t="n">
        <v>91.355</v>
      </c>
      <c r="E11886" s="5" t="n">
        <v>16.9</v>
      </c>
      <c r="F11886" s="3" t="inlineStr">
        <is>
          <t>유구읍</t>
        </is>
      </c>
      <c r="G11886" s="3" t="inlineStr">
        <is>
          <t>입석리</t>
        </is>
      </c>
      <c r="H11886" s="3" t="inlineStr">
        <is>
          <t>보전관리지역</t>
        </is>
      </c>
      <c r="I11886" s="3" t="inlineStr">
        <is>
          <t>전</t>
        </is>
      </c>
      <c r="J11886" s="3" t="inlineStr">
        <is>
          <t>유구읍</t>
        </is>
      </c>
    </row>
    <row r="11887">
      <c r="A11887" s="3" t="n">
        <v>2026</v>
      </c>
      <c r="B11887" s="4" t="n">
        <v>1000</v>
      </c>
      <c r="C11887" s="4" t="n">
        <v>2749</v>
      </c>
      <c r="D11887" s="4" t="n">
        <v>831.5725</v>
      </c>
      <c r="E11887" s="5" t="n">
        <v>1.2</v>
      </c>
      <c r="F11887" s="3" t="inlineStr">
        <is>
          <t>유구읍</t>
        </is>
      </c>
      <c r="G11887" s="3" t="inlineStr">
        <is>
          <t>추계리</t>
        </is>
      </c>
      <c r="H11887" s="3" t="inlineStr">
        <is>
          <t>농림지역</t>
        </is>
      </c>
      <c r="I11887" s="3" t="inlineStr">
        <is>
          <t>임야</t>
        </is>
      </c>
      <c r="J11887" s="3" t="inlineStr">
        <is>
          <t>유구읍</t>
        </is>
      </c>
    </row>
    <row r="11888">
      <c r="A11888" s="3" t="n">
        <v>2026</v>
      </c>
      <c r="B11888" s="4" t="n">
        <v>7500</v>
      </c>
      <c r="C11888" s="4" t="n">
        <v>274</v>
      </c>
      <c r="D11888" s="4" t="n">
        <v>82.88499999999999</v>
      </c>
      <c r="E11888" s="5" t="n">
        <v>90.5</v>
      </c>
      <c r="F11888" s="3" t="inlineStr">
        <is>
          <t>유구읍</t>
        </is>
      </c>
      <c r="G11888" s="3" t="inlineStr">
        <is>
          <t>동해리</t>
        </is>
      </c>
      <c r="H11888" s="3" t="inlineStr">
        <is>
          <t>계획관리지역</t>
        </is>
      </c>
      <c r="I11888" s="3" t="inlineStr">
        <is>
          <t>대</t>
        </is>
      </c>
      <c r="J11888" s="3" t="inlineStr">
        <is>
          <t>유구읍</t>
        </is>
      </c>
    </row>
    <row r="11889">
      <c r="A11889" s="3" t="n">
        <v>2026</v>
      </c>
      <c r="B11889" s="4" t="n">
        <v>813</v>
      </c>
      <c r="C11889" s="4" t="n">
        <v>306</v>
      </c>
      <c r="D11889" s="4" t="n">
        <v>92.565</v>
      </c>
      <c r="E11889" s="5" t="n">
        <v>8.800000000000001</v>
      </c>
      <c r="F11889" s="3" t="inlineStr">
        <is>
          <t>유구읍</t>
        </is>
      </c>
      <c r="G11889" s="3" t="inlineStr">
        <is>
          <t>명곡리</t>
        </is>
      </c>
      <c r="H11889" s="3" t="inlineStr">
        <is>
          <t>계획관리지역</t>
        </is>
      </c>
      <c r="I11889" s="3" t="inlineStr">
        <is>
          <t>전</t>
        </is>
      </c>
      <c r="J11889" s="3" t="inlineStr">
        <is>
          <t>유구읍</t>
        </is>
      </c>
    </row>
    <row r="11890">
      <c r="A11890" s="3" t="n">
        <v>2026</v>
      </c>
      <c r="B11890" s="4" t="n">
        <v>187</v>
      </c>
      <c r="C11890" s="4" t="n">
        <v>70</v>
      </c>
      <c r="D11890" s="4" t="n">
        <v>21.175</v>
      </c>
      <c r="E11890" s="5" t="n">
        <v>8.800000000000001</v>
      </c>
      <c r="F11890" s="3" t="inlineStr">
        <is>
          <t>유구읍</t>
        </is>
      </c>
      <c r="G11890" s="3" t="inlineStr">
        <is>
          <t>명곡리</t>
        </is>
      </c>
      <c r="H11890" s="3" t="inlineStr">
        <is>
          <t>계획관리지역</t>
        </is>
      </c>
      <c r="I11890" s="3" t="inlineStr">
        <is>
          <t>전</t>
        </is>
      </c>
      <c r="J11890" s="3" t="inlineStr">
        <is>
          <t>유구읍</t>
        </is>
      </c>
    </row>
    <row r="11891">
      <c r="A11891" s="3" t="n">
        <v>2026</v>
      </c>
      <c r="B11891" s="4" t="n">
        <v>3760</v>
      </c>
      <c r="C11891" s="4" t="n">
        <v>1693</v>
      </c>
      <c r="D11891" s="4" t="n">
        <v>512.1324999999999</v>
      </c>
      <c r="E11891" s="5" t="n">
        <v>7.3</v>
      </c>
      <c r="F11891" s="3" t="inlineStr">
        <is>
          <t>유구읍</t>
        </is>
      </c>
      <c r="G11891" s="3" t="inlineStr">
        <is>
          <t>백교리</t>
        </is>
      </c>
      <c r="H11891" s="3" t="inlineStr">
        <is>
          <t>계획관리지역</t>
        </is>
      </c>
      <c r="I11891" s="3" t="inlineStr">
        <is>
          <t>답</t>
        </is>
      </c>
      <c r="J11891" s="3" t="inlineStr">
        <is>
          <t>유구읍</t>
        </is>
      </c>
    </row>
    <row r="11892">
      <c r="A11892" s="3" t="n">
        <v>2026</v>
      </c>
      <c r="B11892" s="4" t="n">
        <v>4570</v>
      </c>
      <c r="C11892" s="4" t="n">
        <v>1656</v>
      </c>
      <c r="D11892" s="4" t="n">
        <v>500.94</v>
      </c>
      <c r="E11892" s="5" t="n">
        <v>9.1</v>
      </c>
      <c r="F11892" s="3" t="inlineStr">
        <is>
          <t>유구읍</t>
        </is>
      </c>
      <c r="G11892" s="3" t="inlineStr">
        <is>
          <t>백교리</t>
        </is>
      </c>
      <c r="H11892" s="3" t="inlineStr">
        <is>
          <t>계획관리지역</t>
        </is>
      </c>
      <c r="I11892" s="3" t="inlineStr">
        <is>
          <t>전</t>
        </is>
      </c>
      <c r="J11892" s="3" t="inlineStr">
        <is>
          <t>유구읍</t>
        </is>
      </c>
    </row>
    <row r="11893">
      <c r="A11893" s="3" t="n">
        <v>2026</v>
      </c>
      <c r="B11893" s="4" t="n">
        <v>2500</v>
      </c>
      <c r="C11893" s="4" t="n">
        <v>1359</v>
      </c>
      <c r="D11893" s="4" t="n">
        <v>411.0975</v>
      </c>
      <c r="E11893" s="5" t="n">
        <v>6.1</v>
      </c>
      <c r="F11893" s="3" t="inlineStr">
        <is>
          <t>유구읍</t>
        </is>
      </c>
      <c r="G11893" s="3" t="inlineStr">
        <is>
          <t>명곡리</t>
        </is>
      </c>
      <c r="H11893" s="3" t="inlineStr">
        <is>
          <t>계획관리지역</t>
        </is>
      </c>
      <c r="I11893" s="3" t="inlineStr">
        <is>
          <t>전</t>
        </is>
      </c>
      <c r="J11893" s="3" t="inlineStr">
        <is>
          <t>유구읍</t>
        </is>
      </c>
    </row>
    <row r="11894">
      <c r="A11894" s="3" t="n">
        <v>2026</v>
      </c>
      <c r="B11894" s="4" t="n">
        <v>1800</v>
      </c>
      <c r="C11894" s="4" t="n">
        <v>684</v>
      </c>
      <c r="D11894" s="4" t="n">
        <v>206.91</v>
      </c>
      <c r="E11894" s="5" t="n">
        <v>8.699999999999999</v>
      </c>
      <c r="F11894" s="3" t="inlineStr">
        <is>
          <t>유구읍</t>
        </is>
      </c>
      <c r="G11894" s="3" t="inlineStr">
        <is>
          <t>문금리</t>
        </is>
      </c>
      <c r="H11894" s="3" t="inlineStr">
        <is>
          <t>계획관리지역</t>
        </is>
      </c>
      <c r="I11894" s="3" t="inlineStr">
        <is>
          <t>전</t>
        </is>
      </c>
      <c r="J11894" s="3" t="inlineStr">
        <is>
          <t>유구읍</t>
        </is>
      </c>
    </row>
    <row r="11895">
      <c r="A11895" s="3" t="n">
        <v>2026</v>
      </c>
      <c r="B11895" s="4" t="n">
        <v>1400</v>
      </c>
      <c r="C11895" s="4" t="n">
        <v>1269</v>
      </c>
      <c r="D11895" s="4" t="n">
        <v>383.8725</v>
      </c>
      <c r="E11895" s="5" t="n">
        <v>3.6</v>
      </c>
      <c r="F11895" s="3" t="inlineStr">
        <is>
          <t>유구읍</t>
        </is>
      </c>
      <c r="G11895" s="3" t="inlineStr">
        <is>
          <t>신달리</t>
        </is>
      </c>
      <c r="H11895" s="3" t="inlineStr">
        <is>
          <t>보전관리지역</t>
        </is>
      </c>
      <c r="I11895" s="3" t="inlineStr">
        <is>
          <t>전</t>
        </is>
      </c>
      <c r="J11895" s="3" t="inlineStr">
        <is>
          <t>유구읍</t>
        </is>
      </c>
    </row>
    <row r="11896">
      <c r="A11896" s="3" t="n">
        <v>2026</v>
      </c>
      <c r="B11896" s="4" t="n">
        <v>9500</v>
      </c>
      <c r="C11896" s="4" t="n">
        <v>2142</v>
      </c>
      <c r="D11896" s="4" t="n">
        <v>647.9549999999999</v>
      </c>
      <c r="E11896" s="5" t="n">
        <v>14.7</v>
      </c>
      <c r="F11896" s="3" t="inlineStr">
        <is>
          <t>유구읍</t>
        </is>
      </c>
      <c r="G11896" s="3" t="inlineStr">
        <is>
          <t>석남리</t>
        </is>
      </c>
      <c r="H11896" s="3" t="inlineStr">
        <is>
          <t>계획관리지역</t>
        </is>
      </c>
      <c r="I11896" s="3" t="inlineStr">
        <is>
          <t>답</t>
        </is>
      </c>
      <c r="J11896" s="3" t="inlineStr">
        <is>
          <t>유구읍</t>
        </is>
      </c>
    </row>
    <row r="11897">
      <c r="A11897" s="3" t="n">
        <v>2026</v>
      </c>
      <c r="B11897" s="4" t="n">
        <v>2400</v>
      </c>
      <c r="C11897" s="4" t="n">
        <v>686</v>
      </c>
      <c r="D11897" s="4" t="n">
        <v>207.515</v>
      </c>
      <c r="E11897" s="5" t="n">
        <v>11.6</v>
      </c>
      <c r="F11897" s="3" t="inlineStr">
        <is>
          <t>유구읍</t>
        </is>
      </c>
      <c r="G11897" s="3" t="inlineStr">
        <is>
          <t>만천리</t>
        </is>
      </c>
      <c r="H11897" s="3" t="inlineStr">
        <is>
          <t>농림지역</t>
        </is>
      </c>
      <c r="I11897" s="3" t="inlineStr">
        <is>
          <t>답</t>
        </is>
      </c>
      <c r="J11897" s="3" t="inlineStr">
        <is>
          <t>유구읍</t>
        </is>
      </c>
    </row>
    <row r="11898">
      <c r="A11898" s="3" t="n">
        <v>2025</v>
      </c>
      <c r="B11898" s="4" t="n">
        <v>40800</v>
      </c>
      <c r="C11898" s="4" t="n">
        <v>6744</v>
      </c>
      <c r="D11898" s="4" t="n">
        <v>2040.06</v>
      </c>
      <c r="E11898" s="5" t="n">
        <v>20</v>
      </c>
      <c r="F11898" s="3" t="inlineStr">
        <is>
          <t>유구읍</t>
        </is>
      </c>
      <c r="G11898" s="3" t="inlineStr">
        <is>
          <t>신영리</t>
        </is>
      </c>
      <c r="H11898" s="3" t="inlineStr">
        <is>
          <t>보전관리지역</t>
        </is>
      </c>
      <c r="I11898" s="3" t="inlineStr">
        <is>
          <t>전</t>
        </is>
      </c>
      <c r="J11898" s="3" t="inlineStr">
        <is>
          <t>유구읍</t>
        </is>
      </c>
    </row>
    <row r="11899">
      <c r="A11899" s="3" t="n">
        <v>2026</v>
      </c>
      <c r="B11899" s="4" t="n">
        <v>6370</v>
      </c>
      <c r="C11899" s="4" t="n">
        <v>603</v>
      </c>
      <c r="D11899" s="4" t="n">
        <v>182.4075</v>
      </c>
      <c r="E11899" s="5" t="n">
        <v>34.9</v>
      </c>
      <c r="F11899" s="3" t="inlineStr">
        <is>
          <t>유구읍</t>
        </is>
      </c>
      <c r="G11899" s="3" t="inlineStr">
        <is>
          <t>석남리</t>
        </is>
      </c>
      <c r="H11899" s="3" t="inlineStr">
        <is>
          <t>자연녹지지역</t>
        </is>
      </c>
      <c r="I11899" s="3" t="inlineStr">
        <is>
          <t>전</t>
        </is>
      </c>
      <c r="J11899" s="3" t="inlineStr">
        <is>
          <t>유구읍</t>
        </is>
      </c>
    </row>
    <row r="11900">
      <c r="A11900" s="3" t="n">
        <v>2026</v>
      </c>
      <c r="B11900" s="4" t="n">
        <v>3000</v>
      </c>
      <c r="C11900" s="4" t="n">
        <v>660</v>
      </c>
      <c r="D11900" s="4" t="n">
        <v>199.65</v>
      </c>
      <c r="E11900" s="5" t="n">
        <v>15</v>
      </c>
      <c r="F11900" s="3" t="inlineStr">
        <is>
          <t>유구읍</t>
        </is>
      </c>
      <c r="G11900" s="3" t="inlineStr">
        <is>
          <t>문금리</t>
        </is>
      </c>
      <c r="H11900" s="3" t="inlineStr">
        <is>
          <t>보전관리지역</t>
        </is>
      </c>
      <c r="I11900" s="3" t="inlineStr">
        <is>
          <t>대</t>
        </is>
      </c>
      <c r="J11900" s="3" t="inlineStr">
        <is>
          <t>유구읍</t>
        </is>
      </c>
    </row>
    <row r="11901">
      <c r="A11901" s="3" t="n">
        <v>2026</v>
      </c>
      <c r="B11901" s="4" t="n">
        <v>4858</v>
      </c>
      <c r="C11901" s="4" t="n">
        <v>8255</v>
      </c>
      <c r="D11901" s="4" t="n">
        <v>2497.1375</v>
      </c>
      <c r="E11901" s="5" t="n">
        <v>1.9</v>
      </c>
      <c r="F11901" s="3" t="inlineStr">
        <is>
          <t>유구읍</t>
        </is>
      </c>
      <c r="G11901" s="3" t="inlineStr">
        <is>
          <t>문금리</t>
        </is>
      </c>
      <c r="H11901" s="3" t="inlineStr">
        <is>
          <t>농림지역</t>
        </is>
      </c>
      <c r="I11901" s="3" t="inlineStr">
        <is>
          <t>임야</t>
        </is>
      </c>
      <c r="J11901" s="3" t="inlineStr">
        <is>
          <t>유구읍</t>
        </is>
      </c>
    </row>
    <row r="11902">
      <c r="A11902" s="3" t="n">
        <v>2026</v>
      </c>
      <c r="B11902" s="4" t="n">
        <v>642</v>
      </c>
      <c r="C11902" s="4" t="n">
        <v>1090</v>
      </c>
      <c r="D11902" s="4" t="n">
        <v>329.725</v>
      </c>
      <c r="E11902" s="5" t="n">
        <v>1.9</v>
      </c>
      <c r="F11902" s="3" t="inlineStr">
        <is>
          <t>유구읍</t>
        </is>
      </c>
      <c r="G11902" s="3" t="inlineStr">
        <is>
          <t>문금리</t>
        </is>
      </c>
      <c r="H11902" s="3" t="inlineStr">
        <is>
          <t>농림지역</t>
        </is>
      </c>
      <c r="I11902" s="3" t="inlineStr">
        <is>
          <t>임야</t>
        </is>
      </c>
      <c r="J11902" s="3" t="inlineStr">
        <is>
          <t>유구읍</t>
        </is>
      </c>
    </row>
    <row r="11903">
      <c r="A11903" s="3" t="n">
        <v>2026</v>
      </c>
      <c r="B11903" s="4" t="n">
        <v>8000</v>
      </c>
      <c r="C11903" s="4" t="n">
        <v>2579</v>
      </c>
      <c r="D11903" s="4" t="n">
        <v>780.1474999999999</v>
      </c>
      <c r="E11903" s="5" t="n">
        <v>10.3</v>
      </c>
      <c r="F11903" s="3" t="inlineStr">
        <is>
          <t>유구읍</t>
        </is>
      </c>
      <c r="G11903" s="3" t="inlineStr">
        <is>
          <t>명곡리</t>
        </is>
      </c>
      <c r="H11903" s="3" t="inlineStr">
        <is>
          <t>농림지역</t>
        </is>
      </c>
      <c r="I11903" s="3" t="inlineStr">
        <is>
          <t>전</t>
        </is>
      </c>
      <c r="J11903" s="3" t="inlineStr">
        <is>
          <t>유구읍</t>
        </is>
      </c>
    </row>
    <row r="11904">
      <c r="A11904" s="3" t="n">
        <v>2024</v>
      </c>
      <c r="B11904" s="4" t="n">
        <v>500</v>
      </c>
      <c r="C11904" s="4" t="n">
        <v>24.6</v>
      </c>
      <c r="D11904" s="4" t="n">
        <v>7.4415</v>
      </c>
      <c r="E11904" s="5" t="n">
        <v>67.2</v>
      </c>
      <c r="F11904" s="3" t="inlineStr">
        <is>
          <t>유구읍</t>
        </is>
      </c>
      <c r="G11904" s="3" t="inlineStr">
        <is>
          <t>유구리</t>
        </is>
      </c>
      <c r="H11904" s="3" t="inlineStr">
        <is>
          <t>계획관리지역</t>
        </is>
      </c>
      <c r="I11904" s="3" t="inlineStr">
        <is>
          <t>도로</t>
        </is>
      </c>
      <c r="J11904" s="3" t="inlineStr">
        <is>
          <t>유구읍</t>
        </is>
      </c>
    </row>
    <row r="11905">
      <c r="A11905" s="3" t="n">
        <v>2024</v>
      </c>
      <c r="B11905" s="4" t="n">
        <v>3600</v>
      </c>
      <c r="C11905" s="4" t="n">
        <v>1100</v>
      </c>
      <c r="D11905" s="4" t="n">
        <v>332.75</v>
      </c>
      <c r="E11905" s="5" t="n">
        <v>10.8</v>
      </c>
      <c r="F11905" s="3" t="inlineStr">
        <is>
          <t>유구읍</t>
        </is>
      </c>
      <c r="G11905" s="3" t="inlineStr">
        <is>
          <t>신영리</t>
        </is>
      </c>
      <c r="H11905" s="3" t="inlineStr">
        <is>
          <t>보전관리지역</t>
        </is>
      </c>
      <c r="I11905" s="3" t="inlineStr">
        <is>
          <t>전</t>
        </is>
      </c>
      <c r="J11905" s="3" t="inlineStr">
        <is>
          <t>유구읍</t>
        </is>
      </c>
    </row>
    <row r="11906">
      <c r="A11906" s="3" t="n">
        <v>2024</v>
      </c>
      <c r="B11906" s="4" t="n">
        <v>5454</v>
      </c>
      <c r="C11906" s="4" t="n">
        <v>2003</v>
      </c>
      <c r="D11906" s="4" t="n">
        <v>605.9075</v>
      </c>
      <c r="E11906" s="5" t="n">
        <v>9</v>
      </c>
      <c r="F11906" s="3" t="inlineStr">
        <is>
          <t>유구읍</t>
        </is>
      </c>
      <c r="G11906" s="3" t="inlineStr">
        <is>
          <t>탑곡리</t>
        </is>
      </c>
      <c r="H11906" s="3" t="inlineStr">
        <is>
          <t>계획관리지역</t>
        </is>
      </c>
      <c r="I11906" s="3" t="inlineStr">
        <is>
          <t>답</t>
        </is>
      </c>
      <c r="J11906" s="3" t="inlineStr">
        <is>
          <t>유구읍</t>
        </is>
      </c>
    </row>
    <row r="11907">
      <c r="A11907" s="3" t="n">
        <v>2024</v>
      </c>
      <c r="B11907" s="4" t="n">
        <v>3000</v>
      </c>
      <c r="C11907" s="4" t="n">
        <v>493</v>
      </c>
      <c r="D11907" s="4" t="n">
        <v>149.1325</v>
      </c>
      <c r="E11907" s="5" t="n">
        <v>20.1</v>
      </c>
      <c r="F11907" s="3" t="inlineStr">
        <is>
          <t>유구읍</t>
        </is>
      </c>
      <c r="G11907" s="3" t="inlineStr">
        <is>
          <t>연종리</t>
        </is>
      </c>
      <c r="H11907" s="3" t="inlineStr">
        <is>
          <t>계획관리지역</t>
        </is>
      </c>
      <c r="I11907" s="3" t="inlineStr">
        <is>
          <t>전</t>
        </is>
      </c>
      <c r="J11907" s="3" t="inlineStr">
        <is>
          <t>유구읍</t>
        </is>
      </c>
    </row>
    <row r="11908">
      <c r="A11908" s="3" t="n">
        <v>2024</v>
      </c>
      <c r="B11908" s="4" t="n">
        <v>250</v>
      </c>
      <c r="C11908" s="4" t="n">
        <v>452</v>
      </c>
      <c r="D11908" s="4" t="n">
        <v>136.73</v>
      </c>
      <c r="E11908" s="5" t="n">
        <v>1.8</v>
      </c>
      <c r="F11908" s="3" t="inlineStr">
        <is>
          <t>유구읍</t>
        </is>
      </c>
      <c r="G11908" s="3" t="inlineStr">
        <is>
          <t>연종리</t>
        </is>
      </c>
      <c r="H11908" s="3" t="inlineStr">
        <is>
          <t>농림지역</t>
        </is>
      </c>
      <c r="I11908" s="3" t="inlineStr">
        <is>
          <t>임야</t>
        </is>
      </c>
      <c r="J11908" s="3" t="inlineStr">
        <is>
          <t>유구읍</t>
        </is>
      </c>
    </row>
    <row r="11909">
      <c r="A11909" s="3" t="n">
        <v>2024</v>
      </c>
      <c r="B11909" s="4" t="n">
        <v>1600</v>
      </c>
      <c r="C11909" s="4" t="n">
        <v>2250</v>
      </c>
      <c r="D11909" s="4" t="n">
        <v>680.625</v>
      </c>
      <c r="E11909" s="5" t="n">
        <v>2.4</v>
      </c>
      <c r="F11909" s="3" t="inlineStr">
        <is>
          <t>유구읍</t>
        </is>
      </c>
      <c r="G11909" s="3" t="inlineStr">
        <is>
          <t>연종리</t>
        </is>
      </c>
      <c r="H11909" s="3" t="inlineStr">
        <is>
          <t>계획관리지역</t>
        </is>
      </c>
      <c r="I11909" s="3" t="inlineStr">
        <is>
          <t>임야</t>
        </is>
      </c>
      <c r="J11909" s="3" t="inlineStr">
        <is>
          <t>유구읍</t>
        </is>
      </c>
    </row>
    <row r="11910">
      <c r="A11910" s="3" t="n">
        <v>2024</v>
      </c>
      <c r="B11910" s="4" t="n">
        <v>150</v>
      </c>
      <c r="C11910" s="4" t="n">
        <v>69</v>
      </c>
      <c r="D11910" s="4" t="n">
        <v>20.8725</v>
      </c>
      <c r="E11910" s="5" t="n">
        <v>7.2</v>
      </c>
      <c r="F11910" s="3" t="inlineStr">
        <is>
          <t>유구읍</t>
        </is>
      </c>
      <c r="G11910" s="3" t="inlineStr">
        <is>
          <t>연종리</t>
        </is>
      </c>
      <c r="H11910" s="3" t="inlineStr">
        <is>
          <t>계획관리지역</t>
        </is>
      </c>
      <c r="I11910" s="3" t="inlineStr">
        <is>
          <t>임야</t>
        </is>
      </c>
      <c r="J11910" s="3" t="inlineStr">
        <is>
          <t>유구읍</t>
        </is>
      </c>
    </row>
    <row r="11911">
      <c r="A11911" s="3" t="n">
        <v>2025</v>
      </c>
      <c r="B11911" s="4" t="n">
        <v>1450</v>
      </c>
      <c r="C11911" s="4" t="n">
        <v>200</v>
      </c>
      <c r="D11911" s="4" t="n">
        <v>60.5</v>
      </c>
      <c r="E11911" s="5" t="n">
        <v>24</v>
      </c>
      <c r="F11911" s="3" t="inlineStr">
        <is>
          <t>유구읍</t>
        </is>
      </c>
      <c r="G11911" s="3" t="inlineStr">
        <is>
          <t>만천리</t>
        </is>
      </c>
      <c r="H11911" s="3" t="inlineStr">
        <is>
          <t>농림지역</t>
        </is>
      </c>
      <c r="I11911" s="3" t="inlineStr">
        <is>
          <t>전</t>
        </is>
      </c>
      <c r="J11911" s="3" t="inlineStr">
        <is>
          <t>유구읍</t>
        </is>
      </c>
    </row>
    <row r="11912">
      <c r="A11912" s="3" t="n">
        <v>2025</v>
      </c>
      <c r="B11912" s="4" t="n">
        <v>3478</v>
      </c>
      <c r="C11912" s="4" t="n">
        <v>330</v>
      </c>
      <c r="D11912" s="4" t="n">
        <v>99.825</v>
      </c>
      <c r="E11912" s="5" t="n">
        <v>34.8</v>
      </c>
      <c r="F11912" s="3" t="inlineStr">
        <is>
          <t>유구읍</t>
        </is>
      </c>
      <c r="G11912" s="3" t="inlineStr">
        <is>
          <t>명곡리</t>
        </is>
      </c>
      <c r="H11912" s="3" t="inlineStr">
        <is>
          <t>계획관리지역</t>
        </is>
      </c>
      <c r="I11912" s="3" t="inlineStr">
        <is>
          <t>전</t>
        </is>
      </c>
      <c r="J11912" s="3" t="inlineStr">
        <is>
          <t>유구읍</t>
        </is>
      </c>
    </row>
    <row r="11913">
      <c r="A11913" s="3" t="n">
        <v>2025</v>
      </c>
      <c r="B11913" s="4" t="n">
        <v>2000</v>
      </c>
      <c r="C11913" s="4" t="n">
        <v>2356</v>
      </c>
      <c r="D11913" s="4" t="n">
        <v>712.6899999999999</v>
      </c>
      <c r="E11913" s="5" t="n">
        <v>2.8</v>
      </c>
      <c r="F11913" s="3" t="inlineStr">
        <is>
          <t>유구읍</t>
        </is>
      </c>
      <c r="G11913" s="3" t="inlineStr">
        <is>
          <t>신영리</t>
        </is>
      </c>
      <c r="H11913" s="3" t="inlineStr">
        <is>
          <t>보전관리지역</t>
        </is>
      </c>
      <c r="I11913" s="3" t="inlineStr">
        <is>
          <t>임야</t>
        </is>
      </c>
      <c r="J11913" s="3" t="inlineStr">
        <is>
          <t>유구읍</t>
        </is>
      </c>
    </row>
    <row r="11914">
      <c r="A11914" s="3" t="n">
        <v>2025</v>
      </c>
      <c r="B11914" s="4" t="n">
        <v>1500</v>
      </c>
      <c r="C11914" s="4" t="n">
        <v>545</v>
      </c>
      <c r="D11914" s="4" t="n">
        <v>164.8625</v>
      </c>
      <c r="E11914" s="5" t="n">
        <v>9.1</v>
      </c>
      <c r="F11914" s="3" t="inlineStr">
        <is>
          <t>유구읍</t>
        </is>
      </c>
      <c r="G11914" s="3" t="inlineStr">
        <is>
          <t>백교리</t>
        </is>
      </c>
      <c r="H11914" s="3" t="inlineStr">
        <is>
          <t>계획관리지역</t>
        </is>
      </c>
      <c r="I11914" s="3" t="inlineStr">
        <is>
          <t>답</t>
        </is>
      </c>
      <c r="J11914" s="3" t="inlineStr">
        <is>
          <t>유구읍</t>
        </is>
      </c>
    </row>
    <row r="11915">
      <c r="A11915" s="3" t="n">
        <v>2025</v>
      </c>
      <c r="B11915" s="4" t="n">
        <v>5500</v>
      </c>
      <c r="C11915" s="4" t="n">
        <v>1523</v>
      </c>
      <c r="D11915" s="4" t="n">
        <v>460.7075</v>
      </c>
      <c r="E11915" s="5" t="n">
        <v>11.9</v>
      </c>
      <c r="F11915" s="3" t="inlineStr">
        <is>
          <t>유구읍</t>
        </is>
      </c>
      <c r="G11915" s="3" t="inlineStr">
        <is>
          <t>백교리</t>
        </is>
      </c>
      <c r="H11915" s="3" t="inlineStr">
        <is>
          <t>계획관리지역</t>
        </is>
      </c>
      <c r="I11915" s="3" t="inlineStr">
        <is>
          <t>전</t>
        </is>
      </c>
      <c r="J11915" s="3" t="inlineStr">
        <is>
          <t>유구읍</t>
        </is>
      </c>
    </row>
    <row r="11916">
      <c r="A11916" s="3" t="n">
        <v>2025</v>
      </c>
      <c r="B11916" s="4" t="n">
        <v>3130</v>
      </c>
      <c r="C11916" s="4" t="n">
        <v>660</v>
      </c>
      <c r="D11916" s="4" t="n">
        <v>199.65</v>
      </c>
      <c r="E11916" s="5" t="n">
        <v>15.7</v>
      </c>
      <c r="F11916" s="3" t="inlineStr">
        <is>
          <t>유구읍</t>
        </is>
      </c>
      <c r="G11916" s="3" t="inlineStr">
        <is>
          <t>추계리</t>
        </is>
      </c>
      <c r="H11916" s="3" t="inlineStr">
        <is>
          <t>계획관리지역</t>
        </is>
      </c>
      <c r="I11916" s="3" t="inlineStr">
        <is>
          <t>답</t>
        </is>
      </c>
      <c r="J11916" s="3" t="inlineStr">
        <is>
          <t>유구읍</t>
        </is>
      </c>
    </row>
    <row r="11917">
      <c r="A11917" s="3" t="n">
        <v>2025</v>
      </c>
      <c r="B11917" s="4" t="n">
        <v>10370</v>
      </c>
      <c r="C11917" s="4" t="n">
        <v>2851</v>
      </c>
      <c r="D11917" s="4" t="n">
        <v>862.4275</v>
      </c>
      <c r="E11917" s="5" t="n">
        <v>12</v>
      </c>
      <c r="F11917" s="3" t="inlineStr">
        <is>
          <t>유구읍</t>
        </is>
      </c>
      <c r="G11917" s="3" t="inlineStr">
        <is>
          <t>추계리</t>
        </is>
      </c>
      <c r="H11917" s="3" t="inlineStr">
        <is>
          <t>계획관리지역</t>
        </is>
      </c>
      <c r="I11917" s="3" t="inlineStr">
        <is>
          <t>답</t>
        </is>
      </c>
      <c r="J11917" s="3" t="inlineStr">
        <is>
          <t>유구읍</t>
        </is>
      </c>
    </row>
    <row r="11918">
      <c r="A11918" s="3" t="n">
        <v>2025</v>
      </c>
      <c r="B11918" s="4" t="n">
        <v>1143</v>
      </c>
      <c r="C11918" s="4" t="n">
        <v>1273</v>
      </c>
      <c r="D11918" s="4" t="n">
        <v>385.0825</v>
      </c>
      <c r="E11918" s="5" t="n">
        <v>3</v>
      </c>
      <c r="F11918" s="3" t="inlineStr">
        <is>
          <t>유구읍</t>
        </is>
      </c>
      <c r="G11918" s="3" t="inlineStr">
        <is>
          <t>추계리</t>
        </is>
      </c>
      <c r="H11918" s="3" t="inlineStr">
        <is>
          <t>계획관리지역</t>
        </is>
      </c>
      <c r="I11918" s="3" t="inlineStr">
        <is>
          <t>답</t>
        </is>
      </c>
      <c r="J11918" s="3" t="inlineStr">
        <is>
          <t>유구읍</t>
        </is>
      </c>
    </row>
    <row r="11919">
      <c r="A11919" s="3" t="n">
        <v>2025</v>
      </c>
      <c r="B11919" s="4" t="n">
        <v>371</v>
      </c>
      <c r="C11919" s="4" t="n">
        <v>413</v>
      </c>
      <c r="D11919" s="4" t="n">
        <v>124.9325</v>
      </c>
      <c r="E11919" s="5" t="n">
        <v>3</v>
      </c>
      <c r="F11919" s="3" t="inlineStr">
        <is>
          <t>유구읍</t>
        </is>
      </c>
      <c r="G11919" s="3" t="inlineStr">
        <is>
          <t>추계리</t>
        </is>
      </c>
      <c r="H11919" s="3" t="inlineStr">
        <is>
          <t>계획관리지역</t>
        </is>
      </c>
      <c r="I11919" s="3" t="inlineStr">
        <is>
          <t>답</t>
        </is>
      </c>
      <c r="J11919" s="3" t="inlineStr">
        <is>
          <t>유구읍</t>
        </is>
      </c>
    </row>
    <row r="11920">
      <c r="A11920" s="3" t="n">
        <v>2025</v>
      </c>
      <c r="B11920" s="4" t="n">
        <v>330</v>
      </c>
      <c r="C11920" s="4" t="n">
        <v>367</v>
      </c>
      <c r="D11920" s="4" t="n">
        <v>111.0175</v>
      </c>
      <c r="E11920" s="5" t="n">
        <v>3</v>
      </c>
      <c r="F11920" s="3" t="inlineStr">
        <is>
          <t>유구읍</t>
        </is>
      </c>
      <c r="G11920" s="3" t="inlineStr">
        <is>
          <t>추계리</t>
        </is>
      </c>
      <c r="H11920" s="3" t="inlineStr">
        <is>
          <t>계획관리지역</t>
        </is>
      </c>
      <c r="I11920" s="3" t="inlineStr">
        <is>
          <t>답</t>
        </is>
      </c>
      <c r="J11920" s="3" t="inlineStr">
        <is>
          <t>유구읍</t>
        </is>
      </c>
    </row>
    <row r="11921">
      <c r="A11921" s="3" t="n">
        <v>2025</v>
      </c>
      <c r="B11921" s="4" t="n">
        <v>157</v>
      </c>
      <c r="C11921" s="4" t="n">
        <v>175</v>
      </c>
      <c r="D11921" s="4" t="n">
        <v>52.9375</v>
      </c>
      <c r="E11921" s="5" t="n">
        <v>3</v>
      </c>
      <c r="F11921" s="3" t="inlineStr">
        <is>
          <t>유구읍</t>
        </is>
      </c>
      <c r="G11921" s="3" t="inlineStr">
        <is>
          <t>추계리</t>
        </is>
      </c>
      <c r="H11921" s="3" t="inlineStr">
        <is>
          <t>계획관리지역</t>
        </is>
      </c>
      <c r="I11921" s="3" t="inlineStr">
        <is>
          <t>답</t>
        </is>
      </c>
      <c r="J11921" s="3" t="inlineStr">
        <is>
          <t>유구읍</t>
        </is>
      </c>
    </row>
    <row r="11922">
      <c r="A11922" s="3" t="n">
        <v>2024</v>
      </c>
      <c r="B11922" s="4" t="n">
        <v>7470</v>
      </c>
      <c r="C11922" s="4" t="n">
        <v>687</v>
      </c>
      <c r="D11922" s="4" t="n">
        <v>207.8175</v>
      </c>
      <c r="E11922" s="5" t="n">
        <v>35.9</v>
      </c>
      <c r="F11922" s="3" t="inlineStr">
        <is>
          <t>유구읍</t>
        </is>
      </c>
      <c r="G11922" s="3" t="inlineStr">
        <is>
          <t>석남리</t>
        </is>
      </c>
      <c r="H11922" s="3" t="inlineStr">
        <is>
          <t>자연녹지지역</t>
        </is>
      </c>
      <c r="I11922" s="3" t="inlineStr">
        <is>
          <t>전</t>
        </is>
      </c>
      <c r="J11922" s="3" t="inlineStr">
        <is>
          <t>유구읍</t>
        </is>
      </c>
    </row>
    <row r="11923">
      <c r="A11923" s="3" t="n">
        <v>2024</v>
      </c>
      <c r="B11923" s="4" t="n">
        <v>25760</v>
      </c>
      <c r="C11923" s="4" t="n">
        <v>11485</v>
      </c>
      <c r="D11923" s="4" t="n">
        <v>3474.2125</v>
      </c>
      <c r="E11923" s="5" t="n">
        <v>7.4</v>
      </c>
      <c r="F11923" s="3" t="inlineStr">
        <is>
          <t>유구읍</t>
        </is>
      </c>
      <c r="G11923" s="3" t="inlineStr">
        <is>
          <t>동해리</t>
        </is>
      </c>
      <c r="H11923" s="3" t="inlineStr">
        <is>
          <t>계획관리지역</t>
        </is>
      </c>
      <c r="I11923" s="3" t="inlineStr">
        <is>
          <t>임야</t>
        </is>
      </c>
      <c r="J11923" s="3" t="inlineStr">
        <is>
          <t>유구읍</t>
        </is>
      </c>
    </row>
    <row r="11924">
      <c r="A11924" s="3" t="n">
        <v>2024</v>
      </c>
      <c r="B11924" s="4" t="n">
        <v>7840</v>
      </c>
      <c r="C11924" s="4" t="n">
        <v>3589</v>
      </c>
      <c r="D11924" s="4" t="n">
        <v>1085.6725</v>
      </c>
      <c r="E11924" s="5" t="n">
        <v>7.2</v>
      </c>
      <c r="F11924" s="3" t="inlineStr">
        <is>
          <t>유구읍</t>
        </is>
      </c>
      <c r="G11924" s="3" t="inlineStr">
        <is>
          <t>동해리</t>
        </is>
      </c>
      <c r="H11924" s="3" t="inlineStr">
        <is>
          <t>계획관리지역</t>
        </is>
      </c>
      <c r="I11924" s="3" t="inlineStr">
        <is>
          <t>임야</t>
        </is>
      </c>
      <c r="J11924" s="3" t="inlineStr">
        <is>
          <t>유구읍</t>
        </is>
      </c>
    </row>
    <row r="11925">
      <c r="A11925" s="3" t="n">
        <v>2024</v>
      </c>
      <c r="B11925" s="4" t="n">
        <v>900</v>
      </c>
      <c r="C11925" s="4" t="n">
        <v>132</v>
      </c>
      <c r="D11925" s="4" t="n">
        <v>39.93</v>
      </c>
      <c r="E11925" s="5" t="n">
        <v>22.5</v>
      </c>
      <c r="F11925" s="3" t="inlineStr">
        <is>
          <t>유구읍</t>
        </is>
      </c>
      <c r="G11925" s="3" t="inlineStr">
        <is>
          <t>동해리</t>
        </is>
      </c>
      <c r="H11925" s="3" t="inlineStr">
        <is>
          <t>계획관리지역</t>
        </is>
      </c>
      <c r="I11925" s="3" t="inlineStr">
        <is>
          <t>대</t>
        </is>
      </c>
      <c r="J11925" s="3" t="inlineStr">
        <is>
          <t>유구읍</t>
        </is>
      </c>
    </row>
    <row r="11926">
      <c r="A11926" s="3" t="n">
        <v>2024</v>
      </c>
      <c r="B11926" s="4" t="n">
        <v>500</v>
      </c>
      <c r="C11926" s="4" t="n">
        <v>36</v>
      </c>
      <c r="D11926" s="4" t="n">
        <v>10.89</v>
      </c>
      <c r="E11926" s="5" t="n">
        <v>45.9</v>
      </c>
      <c r="F11926" s="3" t="inlineStr">
        <is>
          <t>유구읍</t>
        </is>
      </c>
      <c r="G11926" s="3" t="inlineStr">
        <is>
          <t>녹천리</t>
        </is>
      </c>
      <c r="H11926" s="3" t="inlineStr">
        <is>
          <t>준공업지역</t>
        </is>
      </c>
      <c r="I11926" s="3" t="inlineStr">
        <is>
          <t>대</t>
        </is>
      </c>
      <c r="J11926" s="3" t="inlineStr">
        <is>
          <t>유구읍</t>
        </is>
      </c>
    </row>
    <row r="11927">
      <c r="A11927" s="3" t="n">
        <v>2024</v>
      </c>
      <c r="B11927" s="4" t="n">
        <v>365</v>
      </c>
      <c r="C11927" s="4" t="n">
        <v>16</v>
      </c>
      <c r="D11927" s="4" t="n">
        <v>4.84</v>
      </c>
      <c r="E11927" s="5" t="n">
        <v>75.40000000000001</v>
      </c>
      <c r="F11927" s="3" t="inlineStr">
        <is>
          <t>유구읍</t>
        </is>
      </c>
      <c r="G11927" s="3" t="inlineStr">
        <is>
          <t>녹천리</t>
        </is>
      </c>
      <c r="H11927" s="3" t="inlineStr">
        <is>
          <t>준공업지역</t>
        </is>
      </c>
      <c r="I11927" s="3" t="inlineStr">
        <is>
          <t>답</t>
        </is>
      </c>
      <c r="J11927" s="3" t="inlineStr">
        <is>
          <t>유구읍</t>
        </is>
      </c>
    </row>
    <row r="11928">
      <c r="A11928" s="3" t="n">
        <v>2024</v>
      </c>
      <c r="B11928" s="4" t="n">
        <v>4000</v>
      </c>
      <c r="C11928" s="4" t="n">
        <v>737</v>
      </c>
      <c r="D11928" s="4" t="n">
        <v>222.9425</v>
      </c>
      <c r="E11928" s="5" t="n">
        <v>17.9</v>
      </c>
      <c r="F11928" s="3" t="inlineStr">
        <is>
          <t>유구읍</t>
        </is>
      </c>
      <c r="G11928" s="3" t="inlineStr">
        <is>
          <t>문금리</t>
        </is>
      </c>
      <c r="H11928" s="3" t="inlineStr">
        <is>
          <t>계획관리지역</t>
        </is>
      </c>
      <c r="I11928" s="3" t="inlineStr">
        <is>
          <t>답</t>
        </is>
      </c>
      <c r="J11928" s="3" t="inlineStr">
        <is>
          <t>유구읍</t>
        </is>
      </c>
    </row>
    <row r="11929">
      <c r="A11929" s="3" t="n">
        <v>2024</v>
      </c>
      <c r="B11929" s="4" t="n">
        <v>4090</v>
      </c>
      <c r="C11929" s="4" t="n">
        <v>13549</v>
      </c>
      <c r="D11929" s="4" t="n">
        <v>4098.5725</v>
      </c>
      <c r="E11929" s="5" t="n">
        <v>1</v>
      </c>
      <c r="F11929" s="3" t="inlineStr">
        <is>
          <t>유구읍</t>
        </is>
      </c>
      <c r="G11929" s="3" t="inlineStr">
        <is>
          <t>노동리</t>
        </is>
      </c>
      <c r="H11929" s="3" t="inlineStr">
        <is>
          <t>계획관리지역</t>
        </is>
      </c>
      <c r="I11929" s="3" t="inlineStr">
        <is>
          <t>임야</t>
        </is>
      </c>
      <c r="J11929" s="3" t="inlineStr">
        <is>
          <t>유구읍</t>
        </is>
      </c>
    </row>
    <row r="11930">
      <c r="A11930" s="3" t="n">
        <v>2024</v>
      </c>
      <c r="B11930" s="4" t="n">
        <v>8450</v>
      </c>
      <c r="C11930" s="4" t="n">
        <v>914</v>
      </c>
      <c r="D11930" s="4" t="n">
        <v>276.485</v>
      </c>
      <c r="E11930" s="5" t="n">
        <v>30.6</v>
      </c>
      <c r="F11930" s="3" t="inlineStr">
        <is>
          <t>유구읍</t>
        </is>
      </c>
      <c r="G11930" s="3" t="inlineStr">
        <is>
          <t>녹천리</t>
        </is>
      </c>
      <c r="H11930" s="3" t="inlineStr">
        <is>
          <t>자연녹지지역</t>
        </is>
      </c>
      <c r="I11930" s="3" t="inlineStr">
        <is>
          <t>답</t>
        </is>
      </c>
      <c r="J11930" s="3" t="inlineStr">
        <is>
          <t>유구읍</t>
        </is>
      </c>
    </row>
    <row r="11931">
      <c r="A11931" s="3" t="n">
        <v>2024</v>
      </c>
      <c r="B11931" s="4" t="n">
        <v>70</v>
      </c>
      <c r="C11931" s="4" t="n">
        <v>29</v>
      </c>
      <c r="D11931" s="4" t="n">
        <v>8.772499999999999</v>
      </c>
      <c r="E11931" s="5" t="n">
        <v>8</v>
      </c>
      <c r="F11931" s="3" t="inlineStr">
        <is>
          <t>유구읍</t>
        </is>
      </c>
      <c r="G11931" s="3" t="inlineStr">
        <is>
          <t>추계리</t>
        </is>
      </c>
      <c r="H11931" s="3" t="inlineStr">
        <is>
          <t>계획관리지역</t>
        </is>
      </c>
      <c r="I11931" s="3" t="inlineStr">
        <is>
          <t>도로</t>
        </is>
      </c>
      <c r="J11931" s="3" t="inlineStr">
        <is>
          <t>유구읍</t>
        </is>
      </c>
    </row>
    <row r="11932">
      <c r="A11932" s="3" t="n">
        <v>2024</v>
      </c>
      <c r="B11932" s="4" t="n">
        <v>430</v>
      </c>
      <c r="C11932" s="4" t="n">
        <v>177</v>
      </c>
      <c r="D11932" s="4" t="n">
        <v>53.5425</v>
      </c>
      <c r="E11932" s="5" t="n">
        <v>8</v>
      </c>
      <c r="F11932" s="3" t="inlineStr">
        <is>
          <t>유구읍</t>
        </is>
      </c>
      <c r="G11932" s="3" t="inlineStr">
        <is>
          <t>추계리</t>
        </is>
      </c>
      <c r="H11932" s="3" t="inlineStr">
        <is>
          <t>계획관리지역</t>
        </is>
      </c>
      <c r="I11932" s="3" t="inlineStr">
        <is>
          <t>도로</t>
        </is>
      </c>
      <c r="J11932" s="3" t="inlineStr">
        <is>
          <t>유구읍</t>
        </is>
      </c>
    </row>
    <row r="11933">
      <c r="A11933" s="3" t="n">
        <v>2024</v>
      </c>
      <c r="B11933" s="4" t="n">
        <v>1600</v>
      </c>
      <c r="C11933" s="4" t="n">
        <v>853</v>
      </c>
      <c r="D11933" s="4" t="n">
        <v>258.0325</v>
      </c>
      <c r="E11933" s="5" t="n">
        <v>6.2</v>
      </c>
      <c r="F11933" s="3" t="inlineStr">
        <is>
          <t>유구읍</t>
        </is>
      </c>
      <c r="G11933" s="3" t="inlineStr">
        <is>
          <t>명곡리</t>
        </is>
      </c>
      <c r="H11933" s="3" t="inlineStr">
        <is>
          <t>계획관리지역</t>
        </is>
      </c>
      <c r="I11933" s="3" t="inlineStr">
        <is>
          <t>전</t>
        </is>
      </c>
      <c r="J11933" s="3" t="inlineStr">
        <is>
          <t>유구읍</t>
        </is>
      </c>
    </row>
    <row r="11934">
      <c r="A11934" s="3" t="n">
        <v>2025</v>
      </c>
      <c r="B11934" s="4" t="n">
        <v>1300</v>
      </c>
      <c r="C11934" s="4" t="n">
        <v>1626</v>
      </c>
      <c r="D11934" s="4" t="n">
        <v>491.865</v>
      </c>
      <c r="E11934" s="5" t="n">
        <v>2.6</v>
      </c>
      <c r="F11934" s="3" t="inlineStr">
        <is>
          <t>유구읍</t>
        </is>
      </c>
      <c r="G11934" s="3" t="inlineStr">
        <is>
          <t>문금리</t>
        </is>
      </c>
      <c r="H11934" s="3" t="inlineStr">
        <is>
          <t>계획관리지역</t>
        </is>
      </c>
      <c r="I11934" s="3" t="inlineStr">
        <is>
          <t>답</t>
        </is>
      </c>
      <c r="J11934" s="3" t="inlineStr">
        <is>
          <t>유구읍</t>
        </is>
      </c>
    </row>
    <row r="11935">
      <c r="A11935" s="3" t="n">
        <v>2025</v>
      </c>
      <c r="B11935" s="4" t="n">
        <v>1300</v>
      </c>
      <c r="C11935" s="4" t="n">
        <v>1388</v>
      </c>
      <c r="D11935" s="4" t="n">
        <v>419.87</v>
      </c>
      <c r="E11935" s="5" t="n">
        <v>3.1</v>
      </c>
      <c r="F11935" s="3" t="inlineStr">
        <is>
          <t>유구읍</t>
        </is>
      </c>
      <c r="G11935" s="3" t="inlineStr">
        <is>
          <t>녹천리</t>
        </is>
      </c>
      <c r="H11935" s="3" t="inlineStr">
        <is>
          <t>계획관리지역</t>
        </is>
      </c>
      <c r="I11935" s="3" t="inlineStr">
        <is>
          <t>답</t>
        </is>
      </c>
      <c r="J11935" s="3" t="inlineStr">
        <is>
          <t>유구읍</t>
        </is>
      </c>
    </row>
    <row r="11936">
      <c r="A11936" s="3" t="n">
        <v>2025</v>
      </c>
      <c r="B11936" s="4" t="n">
        <v>7000</v>
      </c>
      <c r="C11936" s="4" t="n">
        <v>674</v>
      </c>
      <c r="D11936" s="4" t="n">
        <v>203.885</v>
      </c>
      <c r="E11936" s="5" t="n">
        <v>34.3</v>
      </c>
      <c r="F11936" s="3" t="inlineStr">
        <is>
          <t>유구읍</t>
        </is>
      </c>
      <c r="G11936" s="3" t="inlineStr">
        <is>
          <t>문금리</t>
        </is>
      </c>
      <c r="H11936" s="3" t="inlineStr">
        <is>
          <t>보전관리지역</t>
        </is>
      </c>
      <c r="I11936" s="3" t="inlineStr">
        <is>
          <t>답</t>
        </is>
      </c>
      <c r="J11936" s="3" t="inlineStr">
        <is>
          <t>유구읍</t>
        </is>
      </c>
    </row>
    <row r="11937">
      <c r="A11937" s="3" t="n">
        <v>2025</v>
      </c>
      <c r="B11937" s="4" t="n">
        <v>5690</v>
      </c>
      <c r="C11937" s="4" t="n">
        <v>574</v>
      </c>
      <c r="D11937" s="4" t="n">
        <v>173.635</v>
      </c>
      <c r="E11937" s="5" t="n">
        <v>32.8</v>
      </c>
      <c r="F11937" s="3" t="inlineStr">
        <is>
          <t>유구읍</t>
        </is>
      </c>
      <c r="G11937" s="3" t="inlineStr">
        <is>
          <t>명곡리</t>
        </is>
      </c>
      <c r="H11937" s="3" t="inlineStr">
        <is>
          <t>계획관리지역</t>
        </is>
      </c>
      <c r="I11937" s="3" t="inlineStr">
        <is>
          <t>전</t>
        </is>
      </c>
      <c r="J11937" s="3" t="inlineStr">
        <is>
          <t>유구읍</t>
        </is>
      </c>
    </row>
    <row r="11938">
      <c r="A11938" s="3" t="n">
        <v>2025</v>
      </c>
      <c r="B11938" s="4" t="n">
        <v>2050</v>
      </c>
      <c r="C11938" s="4" t="n">
        <v>279</v>
      </c>
      <c r="D11938" s="4" t="n">
        <v>84.39749999999999</v>
      </c>
      <c r="E11938" s="5" t="n">
        <v>24.3</v>
      </c>
      <c r="F11938" s="3" t="inlineStr">
        <is>
          <t>유구읍</t>
        </is>
      </c>
      <c r="G11938" s="3" t="inlineStr">
        <is>
          <t>명곡리</t>
        </is>
      </c>
      <c r="H11938" s="3" t="inlineStr">
        <is>
          <t>계획관리지역</t>
        </is>
      </c>
      <c r="I11938" s="3" t="inlineStr">
        <is>
          <t>전</t>
        </is>
      </c>
      <c r="J11938" s="3" t="inlineStr">
        <is>
          <t>유구읍</t>
        </is>
      </c>
    </row>
    <row r="11939">
      <c r="A11939" s="3" t="n">
        <v>2025</v>
      </c>
      <c r="B11939" s="4" t="n">
        <v>3700</v>
      </c>
      <c r="C11939" s="4" t="n">
        <v>1211</v>
      </c>
      <c r="D11939" s="4" t="n">
        <v>366.3275</v>
      </c>
      <c r="E11939" s="5" t="n">
        <v>10.1</v>
      </c>
      <c r="F11939" s="3" t="inlineStr">
        <is>
          <t>유구읍</t>
        </is>
      </c>
      <c r="G11939" s="3" t="inlineStr">
        <is>
          <t>탑곡리</t>
        </is>
      </c>
      <c r="H11939" s="3" t="inlineStr">
        <is>
          <t>계획관리지역</t>
        </is>
      </c>
      <c r="I11939" s="3" t="inlineStr">
        <is>
          <t>임야</t>
        </is>
      </c>
      <c r="J11939" s="3" t="inlineStr">
        <is>
          <t>유구읍</t>
        </is>
      </c>
    </row>
    <row r="11940">
      <c r="A11940" s="3" t="n">
        <v>2025</v>
      </c>
      <c r="B11940" s="4" t="n">
        <v>7350</v>
      </c>
      <c r="C11940" s="4" t="n">
        <v>681</v>
      </c>
      <c r="D11940" s="4" t="n">
        <v>206.0025</v>
      </c>
      <c r="E11940" s="5" t="n">
        <v>35.7</v>
      </c>
      <c r="F11940" s="3" t="inlineStr">
        <is>
          <t>유구읍</t>
        </is>
      </c>
      <c r="G11940" s="3" t="inlineStr">
        <is>
          <t>동해리</t>
        </is>
      </c>
      <c r="H11940" s="3" t="inlineStr">
        <is>
          <t>계획관리지역</t>
        </is>
      </c>
      <c r="I11940" s="3" t="inlineStr">
        <is>
          <t>대</t>
        </is>
      </c>
      <c r="J11940" s="3" t="inlineStr">
        <is>
          <t>유구읍</t>
        </is>
      </c>
    </row>
    <row r="11941">
      <c r="A11941" s="3" t="n">
        <v>2024</v>
      </c>
      <c r="B11941" s="4" t="n">
        <v>54</v>
      </c>
      <c r="C11941" s="4" t="n">
        <v>12</v>
      </c>
      <c r="D11941" s="4" t="n">
        <v>3.63</v>
      </c>
      <c r="E11941" s="5" t="n">
        <v>14.9</v>
      </c>
      <c r="F11941" s="3" t="inlineStr">
        <is>
          <t>유구읍</t>
        </is>
      </c>
      <c r="G11941" s="3" t="inlineStr">
        <is>
          <t>구계리</t>
        </is>
      </c>
      <c r="H11941" s="3" t="inlineStr">
        <is>
          <t>보전관리지역</t>
        </is>
      </c>
      <c r="I11941" s="3" t="inlineStr">
        <is>
          <t>답</t>
        </is>
      </c>
      <c r="J11941" s="3" t="inlineStr">
        <is>
          <t>유구읍</t>
        </is>
      </c>
    </row>
    <row r="11942">
      <c r="A11942" s="3" t="n">
        <v>2024</v>
      </c>
      <c r="B11942" s="4" t="n">
        <v>8400</v>
      </c>
      <c r="C11942" s="4" t="n">
        <v>2151.5</v>
      </c>
      <c r="D11942" s="4" t="n">
        <v>650.82875</v>
      </c>
      <c r="E11942" s="5" t="n">
        <v>12.9</v>
      </c>
      <c r="F11942" s="3" t="inlineStr">
        <is>
          <t>유구읍</t>
        </is>
      </c>
      <c r="G11942" s="3" t="inlineStr">
        <is>
          <t>추계리</t>
        </is>
      </c>
      <c r="H11942" s="3" t="inlineStr">
        <is>
          <t>일반상업지역</t>
        </is>
      </c>
      <c r="I11942" s="3" t="inlineStr">
        <is>
          <t>답</t>
        </is>
      </c>
      <c r="J11942" s="3" t="inlineStr">
        <is>
          <t>유구읍</t>
        </is>
      </c>
    </row>
    <row r="11943">
      <c r="A11943" s="3" t="n">
        <v>2025</v>
      </c>
      <c r="B11943" s="4" t="n">
        <v>3915</v>
      </c>
      <c r="C11943" s="4" t="n">
        <v>874</v>
      </c>
      <c r="D11943" s="4" t="n">
        <v>264.385</v>
      </c>
      <c r="E11943" s="5" t="n">
        <v>14.8</v>
      </c>
      <c r="F11943" s="3" t="inlineStr">
        <is>
          <t>유구읍</t>
        </is>
      </c>
      <c r="G11943" s="3" t="inlineStr">
        <is>
          <t>문금리</t>
        </is>
      </c>
      <c r="H11943" s="3" t="inlineStr">
        <is>
          <t>생산관리지역</t>
        </is>
      </c>
      <c r="I11943" s="3" t="inlineStr">
        <is>
          <t>잡종지</t>
        </is>
      </c>
      <c r="J11943" s="3" t="inlineStr">
        <is>
          <t>유구읍</t>
        </is>
      </c>
    </row>
    <row r="11944">
      <c r="A11944" s="3" t="n">
        <v>2025</v>
      </c>
      <c r="B11944" s="4" t="n">
        <v>4641</v>
      </c>
      <c r="C11944" s="4" t="n">
        <v>1036</v>
      </c>
      <c r="D11944" s="4" t="n">
        <v>313.39</v>
      </c>
      <c r="E11944" s="5" t="n">
        <v>14.8</v>
      </c>
      <c r="F11944" s="3" t="inlineStr">
        <is>
          <t>유구읍</t>
        </is>
      </c>
      <c r="G11944" s="3" t="inlineStr">
        <is>
          <t>문금리</t>
        </is>
      </c>
      <c r="H11944" s="3" t="inlineStr">
        <is>
          <t>생산관리지역</t>
        </is>
      </c>
      <c r="I11944" s="3" t="inlineStr">
        <is>
          <t>잡종지</t>
        </is>
      </c>
      <c r="J11944" s="3" t="inlineStr">
        <is>
          <t>유구읍</t>
        </is>
      </c>
    </row>
    <row r="11945">
      <c r="A11945" s="3" t="n">
        <v>2025</v>
      </c>
      <c r="B11945" s="4" t="n">
        <v>8731</v>
      </c>
      <c r="C11945" s="4" t="n">
        <v>1949</v>
      </c>
      <c r="D11945" s="4" t="n">
        <v>589.5725</v>
      </c>
      <c r="E11945" s="5" t="n">
        <v>14.8</v>
      </c>
      <c r="F11945" s="3" t="inlineStr">
        <is>
          <t>유구읍</t>
        </is>
      </c>
      <c r="G11945" s="3" t="inlineStr">
        <is>
          <t>문금리</t>
        </is>
      </c>
      <c r="H11945" s="3" t="inlineStr">
        <is>
          <t>보전녹지지역</t>
        </is>
      </c>
      <c r="I11945" s="3" t="inlineStr">
        <is>
          <t>잡종지</t>
        </is>
      </c>
      <c r="J11945" s="3" t="inlineStr">
        <is>
          <t>유구읍</t>
        </is>
      </c>
    </row>
    <row r="11946">
      <c r="A11946" s="3" t="n">
        <v>2025</v>
      </c>
      <c r="B11946" s="4" t="n">
        <v>3947</v>
      </c>
      <c r="C11946" s="4" t="n">
        <v>881</v>
      </c>
      <c r="D11946" s="4" t="n">
        <v>266.5025</v>
      </c>
      <c r="E11946" s="5" t="n">
        <v>14.8</v>
      </c>
      <c r="F11946" s="3" t="inlineStr">
        <is>
          <t>유구읍</t>
        </is>
      </c>
      <c r="G11946" s="3" t="inlineStr">
        <is>
          <t>문금리</t>
        </is>
      </c>
      <c r="H11946" s="3" t="inlineStr">
        <is>
          <t>생산관리지역</t>
        </is>
      </c>
      <c r="I11946" s="3" t="inlineStr">
        <is>
          <t>잡종지</t>
        </is>
      </c>
      <c r="J11946" s="3" t="inlineStr">
        <is>
          <t>유구읍</t>
        </is>
      </c>
    </row>
    <row r="11947">
      <c r="A11947" s="3" t="n">
        <v>2024</v>
      </c>
      <c r="B11947" s="4" t="n">
        <v>5640</v>
      </c>
      <c r="C11947" s="4" t="n">
        <v>669</v>
      </c>
      <c r="D11947" s="4" t="n">
        <v>202.3725</v>
      </c>
      <c r="E11947" s="5" t="n">
        <v>27.9</v>
      </c>
      <c r="F11947" s="3" t="inlineStr">
        <is>
          <t>유구읍</t>
        </is>
      </c>
      <c r="G11947" s="3" t="inlineStr">
        <is>
          <t>명곡리</t>
        </is>
      </c>
      <c r="H11947" s="3" t="inlineStr">
        <is>
          <t>일반상업지역</t>
        </is>
      </c>
      <c r="I11947" s="3" t="inlineStr">
        <is>
          <t>전</t>
        </is>
      </c>
      <c r="J11947" s="3" t="inlineStr">
        <is>
          <t>유구읍</t>
        </is>
      </c>
    </row>
    <row r="11948">
      <c r="A11948" s="3" t="n">
        <v>2024</v>
      </c>
      <c r="B11948" s="4" t="n">
        <v>920</v>
      </c>
      <c r="C11948" s="4" t="n">
        <v>76</v>
      </c>
      <c r="D11948" s="4" t="n">
        <v>22.99</v>
      </c>
      <c r="E11948" s="5" t="n">
        <v>40</v>
      </c>
      <c r="F11948" s="3" t="inlineStr">
        <is>
          <t>유구읍</t>
        </is>
      </c>
      <c r="G11948" s="3" t="inlineStr">
        <is>
          <t>입석리</t>
        </is>
      </c>
      <c r="H11948" s="3" t="inlineStr">
        <is>
          <t>보전관리지역</t>
        </is>
      </c>
      <c r="I11948" s="3" t="inlineStr">
        <is>
          <t>전</t>
        </is>
      </c>
      <c r="J11948" s="3" t="inlineStr">
        <is>
          <t>유구읍</t>
        </is>
      </c>
    </row>
    <row r="11949">
      <c r="A11949" s="3" t="n">
        <v>2024</v>
      </c>
      <c r="B11949" s="4" t="n">
        <v>2620</v>
      </c>
      <c r="C11949" s="4" t="n">
        <v>1732</v>
      </c>
      <c r="D11949" s="4" t="n">
        <v>523.9299999999999</v>
      </c>
      <c r="E11949" s="5" t="n">
        <v>5</v>
      </c>
      <c r="F11949" s="3" t="inlineStr">
        <is>
          <t>유구읍</t>
        </is>
      </c>
      <c r="G11949" s="3" t="inlineStr">
        <is>
          <t>세동리</t>
        </is>
      </c>
      <c r="H11949" s="3" t="inlineStr">
        <is>
          <t>생산관리지역</t>
        </is>
      </c>
      <c r="I11949" s="3" t="inlineStr">
        <is>
          <t>답</t>
        </is>
      </c>
      <c r="J11949" s="3" t="inlineStr">
        <is>
          <t>유구읍</t>
        </is>
      </c>
    </row>
    <row r="11950">
      <c r="A11950" s="3" t="n">
        <v>2024</v>
      </c>
      <c r="B11950" s="4" t="n">
        <v>3000</v>
      </c>
      <c r="C11950" s="4" t="n">
        <v>218</v>
      </c>
      <c r="D11950" s="4" t="n">
        <v>65.94499999999999</v>
      </c>
      <c r="E11950" s="5" t="n">
        <v>45.5</v>
      </c>
      <c r="F11950" s="3" t="inlineStr">
        <is>
          <t>유구읍</t>
        </is>
      </c>
      <c r="G11950" s="3" t="inlineStr">
        <is>
          <t>유구리</t>
        </is>
      </c>
      <c r="H11950" s="3" t="inlineStr">
        <is>
          <t>계획관리지역</t>
        </is>
      </c>
      <c r="I11950" s="3" t="inlineStr">
        <is>
          <t>대</t>
        </is>
      </c>
      <c r="J11950" s="3" t="inlineStr">
        <is>
          <t>유구읍</t>
        </is>
      </c>
    </row>
    <row r="11951">
      <c r="A11951" s="3" t="n">
        <v>2024</v>
      </c>
      <c r="B11951" s="4" t="n">
        <v>2700</v>
      </c>
      <c r="C11951" s="4" t="n">
        <v>9322</v>
      </c>
      <c r="D11951" s="4" t="n">
        <v>2819.905</v>
      </c>
      <c r="E11951" s="5" t="n">
        <v>1</v>
      </c>
      <c r="F11951" s="3" t="inlineStr">
        <is>
          <t>유구읍</t>
        </is>
      </c>
      <c r="G11951" s="3" t="inlineStr">
        <is>
          <t>탑곡리</t>
        </is>
      </c>
      <c r="H11951" s="3" t="inlineStr">
        <is>
          <t>개발제한구역</t>
        </is>
      </c>
      <c r="I11951" s="3" t="inlineStr">
        <is>
          <t>임야</t>
        </is>
      </c>
      <c r="J11951" s="3" t="inlineStr">
        <is>
          <t>유구읍</t>
        </is>
      </c>
    </row>
    <row r="11952">
      <c r="A11952" s="3" t="n">
        <v>2024</v>
      </c>
      <c r="B11952" s="4" t="n">
        <v>7100</v>
      </c>
      <c r="C11952" s="4" t="n">
        <v>1306</v>
      </c>
      <c r="D11952" s="4" t="n">
        <v>395.065</v>
      </c>
      <c r="E11952" s="5" t="n">
        <v>18</v>
      </c>
      <c r="F11952" s="3" t="inlineStr">
        <is>
          <t>유구읍</t>
        </is>
      </c>
      <c r="G11952" s="3" t="inlineStr">
        <is>
          <t>유구리</t>
        </is>
      </c>
      <c r="H11952" s="3" t="inlineStr">
        <is>
          <t>계획관리지역</t>
        </is>
      </c>
      <c r="I11952" s="3" t="inlineStr">
        <is>
          <t>임야</t>
        </is>
      </c>
      <c r="J11952" s="3" t="inlineStr">
        <is>
          <t>유구읍</t>
        </is>
      </c>
    </row>
    <row r="11953">
      <c r="A11953" s="3" t="n">
        <v>2024</v>
      </c>
      <c r="B11953" s="4" t="n">
        <v>24000</v>
      </c>
      <c r="C11953" s="4" t="n">
        <v>8109</v>
      </c>
      <c r="D11953" s="4" t="n">
        <v>2452.9725</v>
      </c>
      <c r="E11953" s="5" t="n">
        <v>9.800000000000001</v>
      </c>
      <c r="F11953" s="3" t="inlineStr">
        <is>
          <t>유구읍</t>
        </is>
      </c>
      <c r="G11953" s="3" t="inlineStr">
        <is>
          <t>추계리</t>
        </is>
      </c>
      <c r="H11953" s="3" t="inlineStr">
        <is>
          <t>보전관리지역</t>
        </is>
      </c>
      <c r="I11953" s="3" t="inlineStr">
        <is>
          <t>전</t>
        </is>
      </c>
      <c r="J11953" s="3" t="inlineStr">
        <is>
          <t>유구읍</t>
        </is>
      </c>
    </row>
    <row r="11954">
      <c r="A11954" s="3" t="n">
        <v>2024</v>
      </c>
      <c r="B11954" s="4" t="n">
        <v>11218</v>
      </c>
      <c r="C11954" s="4" t="n">
        <v>3032</v>
      </c>
      <c r="D11954" s="4" t="n">
        <v>917.1799999999999</v>
      </c>
      <c r="E11954" s="5" t="n">
        <v>12.2</v>
      </c>
      <c r="F11954" s="3" t="inlineStr">
        <is>
          <t>유구읍</t>
        </is>
      </c>
      <c r="G11954" s="3" t="inlineStr">
        <is>
          <t>만천리</t>
        </is>
      </c>
      <c r="H11954" s="3" t="inlineStr">
        <is>
          <t>농림지역</t>
        </is>
      </c>
      <c r="I11954" s="3" t="inlineStr">
        <is>
          <t>답</t>
        </is>
      </c>
      <c r="J11954" s="3" t="inlineStr">
        <is>
          <t>유구읍</t>
        </is>
      </c>
    </row>
    <row r="11955">
      <c r="A11955" s="3" t="n">
        <v>2024</v>
      </c>
      <c r="B11955" s="4" t="n">
        <v>7977</v>
      </c>
      <c r="C11955" s="4" t="n">
        <v>2156</v>
      </c>
      <c r="D11955" s="4" t="n">
        <v>652.1899999999999</v>
      </c>
      <c r="E11955" s="5" t="n">
        <v>12.2</v>
      </c>
      <c r="F11955" s="3" t="inlineStr">
        <is>
          <t>유구읍</t>
        </is>
      </c>
      <c r="G11955" s="3" t="inlineStr">
        <is>
          <t>만천리</t>
        </is>
      </c>
      <c r="H11955" s="3" t="inlineStr">
        <is>
          <t>농림지역</t>
        </is>
      </c>
      <c r="I11955" s="3" t="inlineStr">
        <is>
          <t>답</t>
        </is>
      </c>
      <c r="J11955" s="3" t="inlineStr">
        <is>
          <t>유구읍</t>
        </is>
      </c>
    </row>
    <row r="11956">
      <c r="A11956" s="3" t="n">
        <v>2024</v>
      </c>
      <c r="B11956" s="4" t="n">
        <v>13700</v>
      </c>
      <c r="C11956" s="4" t="n">
        <v>2858</v>
      </c>
      <c r="D11956" s="4" t="n">
        <v>864.545</v>
      </c>
      <c r="E11956" s="5" t="n">
        <v>15.8</v>
      </c>
      <c r="F11956" s="3" t="inlineStr">
        <is>
          <t>유구읍</t>
        </is>
      </c>
      <c r="G11956" s="3" t="inlineStr">
        <is>
          <t>문금리</t>
        </is>
      </c>
      <c r="H11956" s="3" t="inlineStr">
        <is>
          <t>일반상업지역</t>
        </is>
      </c>
      <c r="I11956" s="3" t="inlineStr">
        <is>
          <t>전</t>
        </is>
      </c>
      <c r="J11956" s="3" t="inlineStr">
        <is>
          <t>유구읍</t>
        </is>
      </c>
    </row>
    <row r="11957">
      <c r="A11957" s="3" t="n">
        <v>2024</v>
      </c>
      <c r="B11957" s="4" t="n">
        <v>3000</v>
      </c>
      <c r="C11957" s="4" t="n">
        <v>615</v>
      </c>
      <c r="D11957" s="4" t="n">
        <v>186.0375</v>
      </c>
      <c r="E11957" s="5" t="n">
        <v>16.1</v>
      </c>
      <c r="F11957" s="3" t="inlineStr">
        <is>
          <t>유구읍</t>
        </is>
      </c>
      <c r="G11957" s="3" t="inlineStr">
        <is>
          <t>문금리</t>
        </is>
      </c>
      <c r="H11957" s="3" t="inlineStr">
        <is>
          <t>일반상업지역</t>
        </is>
      </c>
      <c r="I11957" s="3" t="inlineStr">
        <is>
          <t>답</t>
        </is>
      </c>
      <c r="J11957" s="3" t="inlineStr">
        <is>
          <t>유구읍</t>
        </is>
      </c>
    </row>
    <row r="11958">
      <c r="A11958" s="3" t="n">
        <v>2024</v>
      </c>
      <c r="B11958" s="4" t="n">
        <v>300</v>
      </c>
      <c r="C11958" s="4" t="n">
        <v>134</v>
      </c>
      <c r="D11958" s="4" t="n">
        <v>40.535</v>
      </c>
      <c r="E11958" s="5" t="n">
        <v>7.4</v>
      </c>
      <c r="F11958" s="3" t="inlineStr">
        <is>
          <t>유구읍</t>
        </is>
      </c>
      <c r="G11958" s="3" t="inlineStr">
        <is>
          <t>문금리</t>
        </is>
      </c>
      <c r="H11958" s="3" t="inlineStr">
        <is>
          <t>일반상업지역</t>
        </is>
      </c>
      <c r="I11958" s="3" t="inlineStr">
        <is>
          <t>전</t>
        </is>
      </c>
      <c r="J11958" s="3" t="inlineStr">
        <is>
          <t>유구읍</t>
        </is>
      </c>
    </row>
    <row r="11959">
      <c r="A11959" s="3" t="n">
        <v>2024</v>
      </c>
      <c r="B11959" s="4" t="n">
        <v>6000</v>
      </c>
      <c r="C11959" s="4" t="n">
        <v>1207</v>
      </c>
      <c r="D11959" s="4" t="n">
        <v>365.1175</v>
      </c>
      <c r="E11959" s="5" t="n">
        <v>16.4</v>
      </c>
      <c r="F11959" s="3" t="inlineStr">
        <is>
          <t>유구읍</t>
        </is>
      </c>
      <c r="G11959" s="3" t="inlineStr">
        <is>
          <t>문금리</t>
        </is>
      </c>
      <c r="H11959" s="3" t="inlineStr">
        <is>
          <t>일반상업지역</t>
        </is>
      </c>
      <c r="I11959" s="3" t="inlineStr">
        <is>
          <t>전</t>
        </is>
      </c>
      <c r="J11959" s="3" t="inlineStr">
        <is>
          <t>유구읍</t>
        </is>
      </c>
    </row>
    <row r="11960">
      <c r="A11960" s="3" t="n">
        <v>2024</v>
      </c>
      <c r="B11960" s="4" t="n">
        <v>200</v>
      </c>
      <c r="C11960" s="4" t="n">
        <v>68</v>
      </c>
      <c r="D11960" s="4" t="n">
        <v>20.57</v>
      </c>
      <c r="E11960" s="5" t="n">
        <v>9.699999999999999</v>
      </c>
      <c r="F11960" s="3" t="inlineStr">
        <is>
          <t>유구읍</t>
        </is>
      </c>
      <c r="G11960" s="3" t="inlineStr">
        <is>
          <t>문금리</t>
        </is>
      </c>
      <c r="H11960" s="3" t="inlineStr">
        <is>
          <t>계획관리지역</t>
        </is>
      </c>
      <c r="I11960" s="3" t="inlineStr">
        <is>
          <t>도로</t>
        </is>
      </c>
      <c r="J11960" s="3" t="inlineStr">
        <is>
          <t>유구읍</t>
        </is>
      </c>
    </row>
    <row r="11961">
      <c r="A11961" s="3" t="n">
        <v>2025</v>
      </c>
      <c r="B11961" s="4" t="n">
        <v>12000</v>
      </c>
      <c r="C11961" s="4" t="n">
        <v>1795</v>
      </c>
      <c r="D11961" s="4" t="n">
        <v>542.9875</v>
      </c>
      <c r="E11961" s="5" t="n">
        <v>22.1</v>
      </c>
      <c r="F11961" s="3" t="inlineStr">
        <is>
          <t>유구읍</t>
        </is>
      </c>
      <c r="G11961" s="3" t="inlineStr">
        <is>
          <t>세동리</t>
        </is>
      </c>
      <c r="H11961" s="3" t="inlineStr">
        <is>
          <t>계획관리지역</t>
        </is>
      </c>
      <c r="I11961" s="3" t="inlineStr">
        <is>
          <t>전</t>
        </is>
      </c>
      <c r="J11961" s="3" t="inlineStr">
        <is>
          <t>유구읍</t>
        </is>
      </c>
    </row>
    <row r="11962">
      <c r="A11962" s="3" t="n">
        <v>2025</v>
      </c>
      <c r="B11962" s="4" t="n">
        <v>2745</v>
      </c>
      <c r="C11962" s="4" t="n">
        <v>647</v>
      </c>
      <c r="D11962" s="4" t="n">
        <v>195.7175</v>
      </c>
      <c r="E11962" s="5" t="n">
        <v>14</v>
      </c>
      <c r="F11962" s="3" t="inlineStr">
        <is>
          <t>유구읍</t>
        </is>
      </c>
      <c r="G11962" s="3" t="inlineStr">
        <is>
          <t>세동리</t>
        </is>
      </c>
      <c r="H11962" s="3" t="inlineStr">
        <is>
          <t>계획관리지역</t>
        </is>
      </c>
      <c r="I11962" s="3" t="inlineStr">
        <is>
          <t>답</t>
        </is>
      </c>
      <c r="J11962" s="3" t="inlineStr">
        <is>
          <t>유구읍</t>
        </is>
      </c>
    </row>
    <row r="11963">
      <c r="A11963" s="3" t="n">
        <v>2025</v>
      </c>
      <c r="B11963" s="4" t="n">
        <v>1650</v>
      </c>
      <c r="C11963" s="4" t="n">
        <v>363</v>
      </c>
      <c r="D11963" s="4" t="n">
        <v>109.8075</v>
      </c>
      <c r="E11963" s="5" t="n">
        <v>15</v>
      </c>
      <c r="F11963" s="3" t="inlineStr">
        <is>
          <t>유구읍</t>
        </is>
      </c>
      <c r="G11963" s="3" t="inlineStr">
        <is>
          <t>세동리</t>
        </is>
      </c>
      <c r="H11963" s="3" t="inlineStr">
        <is>
          <t>계획관리지역</t>
        </is>
      </c>
      <c r="I11963" s="3" t="inlineStr">
        <is>
          <t>전</t>
        </is>
      </c>
      <c r="J11963" s="3" t="inlineStr">
        <is>
          <t>유구읍</t>
        </is>
      </c>
    </row>
    <row r="11964">
      <c r="A11964" s="3" t="n">
        <v>2025</v>
      </c>
      <c r="B11964" s="4" t="n">
        <v>920</v>
      </c>
      <c r="C11964" s="4" t="n">
        <v>153</v>
      </c>
      <c r="D11964" s="4" t="n">
        <v>46.2825</v>
      </c>
      <c r="E11964" s="5" t="n">
        <v>19.9</v>
      </c>
      <c r="F11964" s="3" t="inlineStr">
        <is>
          <t>유구읍</t>
        </is>
      </c>
      <c r="G11964" s="3" t="inlineStr">
        <is>
          <t>세동리</t>
        </is>
      </c>
      <c r="H11964" s="3" t="inlineStr">
        <is>
          <t>계획관리지역</t>
        </is>
      </c>
      <c r="I11964" s="3" t="inlineStr">
        <is>
          <t>답</t>
        </is>
      </c>
      <c r="J11964" s="3" t="inlineStr">
        <is>
          <t>유구읍</t>
        </is>
      </c>
    </row>
    <row r="11965">
      <c r="A11965" s="3" t="n">
        <v>2025</v>
      </c>
      <c r="B11965" s="4" t="n">
        <v>3000</v>
      </c>
      <c r="C11965" s="4" t="n">
        <v>1382</v>
      </c>
      <c r="D11965" s="4" t="n">
        <v>418.055</v>
      </c>
      <c r="E11965" s="5" t="n">
        <v>7.2</v>
      </c>
      <c r="F11965" s="3" t="inlineStr">
        <is>
          <t>유구읍</t>
        </is>
      </c>
      <c r="G11965" s="3" t="inlineStr">
        <is>
          <t>만천리</t>
        </is>
      </c>
      <c r="H11965" s="3" t="inlineStr">
        <is>
          <t>농림지역</t>
        </is>
      </c>
      <c r="I11965" s="3" t="inlineStr">
        <is>
          <t>답</t>
        </is>
      </c>
      <c r="J11965" s="3" t="inlineStr">
        <is>
          <t>유구읍</t>
        </is>
      </c>
    </row>
    <row r="11966">
      <c r="A11966" s="3" t="n">
        <v>2025</v>
      </c>
      <c r="B11966" s="4" t="n">
        <v>2540</v>
      </c>
      <c r="C11966" s="4" t="n">
        <v>1049</v>
      </c>
      <c r="D11966" s="4" t="n">
        <v>317.3225</v>
      </c>
      <c r="E11966" s="5" t="n">
        <v>8</v>
      </c>
      <c r="F11966" s="3" t="inlineStr">
        <is>
          <t>유구읍</t>
        </is>
      </c>
      <c r="G11966" s="3" t="inlineStr">
        <is>
          <t>명곡리</t>
        </is>
      </c>
      <c r="H11966" s="3" t="inlineStr">
        <is>
          <t>농림지역</t>
        </is>
      </c>
      <c r="I11966" s="3" t="inlineStr">
        <is>
          <t>답</t>
        </is>
      </c>
      <c r="J11966" s="3" t="inlineStr">
        <is>
          <t>유구읍</t>
        </is>
      </c>
    </row>
    <row r="11967">
      <c r="A11967" s="3" t="n">
        <v>2025</v>
      </c>
      <c r="B11967" s="4" t="n">
        <v>6660</v>
      </c>
      <c r="C11967" s="4" t="n">
        <v>2752</v>
      </c>
      <c r="D11967" s="4" t="n">
        <v>832.48</v>
      </c>
      <c r="E11967" s="5" t="n">
        <v>8</v>
      </c>
      <c r="F11967" s="3" t="inlineStr">
        <is>
          <t>유구읍</t>
        </is>
      </c>
      <c r="G11967" s="3" t="inlineStr">
        <is>
          <t>명곡리</t>
        </is>
      </c>
      <c r="H11967" s="3" t="inlineStr">
        <is>
          <t>농림지역</t>
        </is>
      </c>
      <c r="I11967" s="3" t="inlineStr">
        <is>
          <t>답</t>
        </is>
      </c>
      <c r="J11967" s="3" t="inlineStr">
        <is>
          <t>유구읍</t>
        </is>
      </c>
    </row>
    <row r="11968">
      <c r="A11968" s="3" t="n">
        <v>2025</v>
      </c>
      <c r="B11968" s="4" t="n">
        <v>19320</v>
      </c>
      <c r="C11968" s="4" t="n">
        <v>63868</v>
      </c>
      <c r="D11968" s="4" t="n">
        <v>19320.07</v>
      </c>
      <c r="E11968" s="5" t="n">
        <v>1</v>
      </c>
      <c r="F11968" s="3" t="inlineStr">
        <is>
          <t>유구읍</t>
        </is>
      </c>
      <c r="G11968" s="3" t="inlineStr">
        <is>
          <t>명곡리</t>
        </is>
      </c>
      <c r="H11968" s="3" t="inlineStr">
        <is>
          <t>농림지역</t>
        </is>
      </c>
      <c r="I11968" s="3" t="inlineStr">
        <is>
          <t>임야</t>
        </is>
      </c>
      <c r="J11968" s="3" t="inlineStr">
        <is>
          <t>유구읍</t>
        </is>
      </c>
    </row>
    <row r="11969">
      <c r="A11969" s="3" t="n">
        <v>2025</v>
      </c>
      <c r="B11969" s="4" t="n">
        <v>800</v>
      </c>
      <c r="C11969" s="4" t="n">
        <v>332</v>
      </c>
      <c r="D11969" s="4" t="n">
        <v>100.43</v>
      </c>
      <c r="E11969" s="5" t="n">
        <v>8</v>
      </c>
      <c r="F11969" s="3" t="inlineStr">
        <is>
          <t>유구읍</t>
        </is>
      </c>
      <c r="G11969" s="3" t="inlineStr">
        <is>
          <t>명곡리</t>
        </is>
      </c>
      <c r="H11969" s="3" t="inlineStr">
        <is>
          <t>농림지역</t>
        </is>
      </c>
      <c r="I11969" s="3" t="inlineStr">
        <is>
          <t>답</t>
        </is>
      </c>
      <c r="J11969" s="3" t="inlineStr">
        <is>
          <t>유구읍</t>
        </is>
      </c>
    </row>
    <row r="11970">
      <c r="A11970" s="3" t="n">
        <v>2025</v>
      </c>
      <c r="B11970" s="4" t="n">
        <v>13815</v>
      </c>
      <c r="C11970" s="4" t="n">
        <v>2212</v>
      </c>
      <c r="D11970" s="4" t="n">
        <v>669.13</v>
      </c>
      <c r="E11970" s="5" t="n">
        <v>20.6</v>
      </c>
      <c r="F11970" s="3" t="inlineStr">
        <is>
          <t>유구읍</t>
        </is>
      </c>
      <c r="G11970" s="3" t="inlineStr">
        <is>
          <t>추계리</t>
        </is>
      </c>
      <c r="H11970" s="3" t="inlineStr">
        <is>
          <t>보전관리지역</t>
        </is>
      </c>
      <c r="I11970" s="3" t="inlineStr">
        <is>
          <t>대</t>
        </is>
      </c>
      <c r="J11970" s="3" t="inlineStr">
        <is>
          <t>유구읍</t>
        </is>
      </c>
    </row>
    <row r="11971">
      <c r="A11971" s="3" t="n">
        <v>2025</v>
      </c>
      <c r="B11971" s="4" t="n">
        <v>200</v>
      </c>
      <c r="C11971" s="4" t="n">
        <v>271</v>
      </c>
      <c r="D11971" s="4" t="n">
        <v>81.97749999999999</v>
      </c>
      <c r="E11971" s="5" t="n">
        <v>2.4</v>
      </c>
      <c r="F11971" s="3" t="inlineStr">
        <is>
          <t>유구읍</t>
        </is>
      </c>
      <c r="G11971" s="3" t="inlineStr">
        <is>
          <t>만천리</t>
        </is>
      </c>
      <c r="H11971" s="3" t="inlineStr">
        <is>
          <t>계획관리지역</t>
        </is>
      </c>
      <c r="I11971" s="3" t="inlineStr">
        <is>
          <t>임야</t>
        </is>
      </c>
      <c r="J11971" s="3" t="inlineStr">
        <is>
          <t>유구읍</t>
        </is>
      </c>
    </row>
    <row r="11972">
      <c r="A11972" s="3" t="n">
        <v>2024</v>
      </c>
      <c r="B11972" s="4" t="n">
        <v>1200</v>
      </c>
      <c r="C11972" s="4" t="n">
        <v>202</v>
      </c>
      <c r="D11972" s="4" t="n">
        <v>61.105</v>
      </c>
      <c r="E11972" s="5" t="n">
        <v>19.6</v>
      </c>
      <c r="F11972" s="3" t="inlineStr">
        <is>
          <t>유구읍</t>
        </is>
      </c>
      <c r="G11972" s="3" t="inlineStr">
        <is>
          <t>문금리</t>
        </is>
      </c>
      <c r="H11972" s="3" t="inlineStr">
        <is>
          <t>계획관리지역</t>
        </is>
      </c>
      <c r="I11972" s="3" t="inlineStr">
        <is>
          <t>대</t>
        </is>
      </c>
      <c r="J11972" s="3" t="inlineStr">
        <is>
          <t>유구읍</t>
        </is>
      </c>
    </row>
    <row r="11973">
      <c r="A11973" s="3" t="n">
        <v>2025</v>
      </c>
      <c r="B11973" s="4" t="n">
        <v>6120</v>
      </c>
      <c r="C11973" s="4" t="n">
        <v>676</v>
      </c>
      <c r="D11973" s="4" t="n">
        <v>204.49</v>
      </c>
      <c r="E11973" s="5" t="n">
        <v>29.9</v>
      </c>
      <c r="F11973" s="3" t="inlineStr">
        <is>
          <t>유구읍</t>
        </is>
      </c>
      <c r="G11973" s="3" t="inlineStr">
        <is>
          <t>명곡리</t>
        </is>
      </c>
      <c r="H11973" s="3" t="inlineStr">
        <is>
          <t>농림지역</t>
        </is>
      </c>
      <c r="I11973" s="3" t="inlineStr">
        <is>
          <t>전</t>
        </is>
      </c>
      <c r="J11973" s="3" t="inlineStr">
        <is>
          <t>유구읍</t>
        </is>
      </c>
    </row>
    <row r="11974">
      <c r="A11974" s="3" t="n">
        <v>2025</v>
      </c>
      <c r="B11974" s="4" t="n">
        <v>4350</v>
      </c>
      <c r="C11974" s="4" t="n">
        <v>468</v>
      </c>
      <c r="D11974" s="4" t="n">
        <v>141.57</v>
      </c>
      <c r="E11974" s="5" t="n">
        <v>30.7</v>
      </c>
      <c r="F11974" s="3" t="inlineStr">
        <is>
          <t>유구읍</t>
        </is>
      </c>
      <c r="G11974" s="3" t="inlineStr">
        <is>
          <t>명곡리</t>
        </is>
      </c>
      <c r="H11974" s="3" t="inlineStr">
        <is>
          <t>계획관리지역</t>
        </is>
      </c>
      <c r="I11974" s="3" t="inlineStr">
        <is>
          <t>전</t>
        </is>
      </c>
      <c r="J11974" s="3" t="inlineStr">
        <is>
          <t>유구읍</t>
        </is>
      </c>
    </row>
    <row r="11975">
      <c r="A11975" s="3" t="n">
        <v>2025</v>
      </c>
      <c r="B11975" s="4" t="n">
        <v>250</v>
      </c>
      <c r="C11975" s="4" t="n">
        <v>152</v>
      </c>
      <c r="D11975" s="4" t="n">
        <v>45.98</v>
      </c>
      <c r="E11975" s="5" t="n">
        <v>5.4</v>
      </c>
      <c r="F11975" s="3" t="inlineStr">
        <is>
          <t>유구읍</t>
        </is>
      </c>
      <c r="G11975" s="3" t="inlineStr">
        <is>
          <t>세동리</t>
        </is>
      </c>
      <c r="H11975" s="3" t="inlineStr">
        <is>
          <t>계획관리지역</t>
        </is>
      </c>
      <c r="I11975" s="3" t="inlineStr">
        <is>
          <t>전</t>
        </is>
      </c>
      <c r="J11975" s="3" t="inlineStr">
        <is>
          <t>유구읍</t>
        </is>
      </c>
    </row>
    <row r="11976">
      <c r="A11976" s="3" t="n">
        <v>2025</v>
      </c>
      <c r="B11976" s="4" t="n">
        <v>1035</v>
      </c>
      <c r="C11976" s="4" t="n">
        <v>99</v>
      </c>
      <c r="D11976" s="4" t="n">
        <v>29.9475</v>
      </c>
      <c r="E11976" s="5" t="n">
        <v>34.6</v>
      </c>
      <c r="F11976" s="3" t="inlineStr">
        <is>
          <t>유구읍</t>
        </is>
      </c>
      <c r="G11976" s="3" t="inlineStr">
        <is>
          <t>만천리</t>
        </is>
      </c>
      <c r="H11976" s="3" t="inlineStr">
        <is>
          <t>계획관리지역</t>
        </is>
      </c>
      <c r="I11976" s="3" t="inlineStr">
        <is>
          <t>대</t>
        </is>
      </c>
      <c r="J11976" s="3" t="inlineStr">
        <is>
          <t>유구읍</t>
        </is>
      </c>
    </row>
    <row r="11977">
      <c r="A11977" s="3" t="n">
        <v>2024</v>
      </c>
      <c r="B11977" s="4" t="n">
        <v>4300</v>
      </c>
      <c r="C11977" s="4" t="n">
        <v>1287</v>
      </c>
      <c r="D11977" s="4" t="n">
        <v>389.3175</v>
      </c>
      <c r="E11977" s="5" t="n">
        <v>11</v>
      </c>
      <c r="F11977" s="3" t="inlineStr">
        <is>
          <t>유구읍</t>
        </is>
      </c>
      <c r="G11977" s="3" t="inlineStr">
        <is>
          <t>추계리</t>
        </is>
      </c>
      <c r="H11977" s="3" t="inlineStr">
        <is>
          <t>계획관리지역</t>
        </is>
      </c>
      <c r="I11977" s="3" t="inlineStr">
        <is>
          <t>답</t>
        </is>
      </c>
      <c r="J11977" s="3" t="inlineStr">
        <is>
          <t>유구읍</t>
        </is>
      </c>
    </row>
    <row r="11978">
      <c r="A11978" s="3" t="n">
        <v>2024</v>
      </c>
      <c r="B11978" s="4" t="n">
        <v>2000</v>
      </c>
      <c r="C11978" s="4" t="n">
        <v>136</v>
      </c>
      <c r="D11978" s="4" t="n">
        <v>41.14</v>
      </c>
      <c r="E11978" s="5" t="n">
        <v>48.6</v>
      </c>
      <c r="F11978" s="3" t="inlineStr">
        <is>
          <t>유구읍</t>
        </is>
      </c>
      <c r="G11978" s="3" t="inlineStr">
        <is>
          <t>추계리</t>
        </is>
      </c>
      <c r="H11978" s="3" t="inlineStr">
        <is>
          <t>계획관리지역</t>
        </is>
      </c>
      <c r="I11978" s="3" t="inlineStr">
        <is>
          <t>답</t>
        </is>
      </c>
      <c r="J11978" s="3" t="inlineStr">
        <is>
          <t>유구읍</t>
        </is>
      </c>
    </row>
    <row r="11979">
      <c r="A11979" s="3" t="n">
        <v>2024</v>
      </c>
      <c r="B11979" s="4" t="n">
        <v>100</v>
      </c>
      <c r="C11979" s="4" t="n">
        <v>5</v>
      </c>
      <c r="D11979" s="4" t="n">
        <v>1.5125</v>
      </c>
      <c r="E11979" s="5" t="n">
        <v>66.09999999999999</v>
      </c>
      <c r="F11979" s="3" t="inlineStr">
        <is>
          <t>유구읍</t>
        </is>
      </c>
      <c r="G11979" s="3" t="inlineStr">
        <is>
          <t>백교리</t>
        </is>
      </c>
      <c r="H11979" s="3" t="inlineStr">
        <is>
          <t>준주거지역</t>
        </is>
      </c>
      <c r="I11979" s="3" t="inlineStr">
        <is>
          <t>대</t>
        </is>
      </c>
      <c r="J11979" s="3" t="inlineStr">
        <is>
          <t>유구읍</t>
        </is>
      </c>
    </row>
    <row r="11980">
      <c r="A11980" s="3" t="n">
        <v>2024</v>
      </c>
      <c r="B11980" s="4" t="n">
        <v>22695</v>
      </c>
      <c r="C11980" s="4" t="n">
        <v>2303</v>
      </c>
      <c r="D11980" s="4" t="n">
        <v>696.6575</v>
      </c>
      <c r="E11980" s="5" t="n">
        <v>32.6</v>
      </c>
      <c r="F11980" s="3" t="inlineStr">
        <is>
          <t>유구읍</t>
        </is>
      </c>
      <c r="G11980" s="3" t="inlineStr">
        <is>
          <t>만천리</t>
        </is>
      </c>
      <c r="H11980" s="3" t="inlineStr">
        <is>
          <t>농림지역</t>
        </is>
      </c>
      <c r="I11980" s="3" t="inlineStr">
        <is>
          <t>답</t>
        </is>
      </c>
      <c r="J11980" s="3" t="inlineStr">
        <is>
          <t>유구읍</t>
        </is>
      </c>
    </row>
    <row r="11981">
      <c r="A11981" s="3" t="n">
        <v>2024</v>
      </c>
      <c r="B11981" s="4" t="n">
        <v>19305</v>
      </c>
      <c r="C11981" s="4" t="n">
        <v>1959</v>
      </c>
      <c r="D11981" s="4" t="n">
        <v>592.5975</v>
      </c>
      <c r="E11981" s="5" t="n">
        <v>32.6</v>
      </c>
      <c r="F11981" s="3" t="inlineStr">
        <is>
          <t>유구읍</t>
        </is>
      </c>
      <c r="G11981" s="3" t="inlineStr">
        <is>
          <t>만천리</t>
        </is>
      </c>
      <c r="H11981" s="3" t="inlineStr">
        <is>
          <t>농림지역</t>
        </is>
      </c>
      <c r="I11981" s="3" t="inlineStr">
        <is>
          <t>답</t>
        </is>
      </c>
      <c r="J11981" s="3" t="inlineStr">
        <is>
          <t>유구읍</t>
        </is>
      </c>
    </row>
    <row r="11982">
      <c r="A11982" s="3" t="n">
        <v>2024</v>
      </c>
      <c r="B11982" s="4" t="n">
        <v>300</v>
      </c>
      <c r="C11982" s="4" t="n">
        <v>86</v>
      </c>
      <c r="D11982" s="4" t="n">
        <v>26.015</v>
      </c>
      <c r="E11982" s="5" t="n">
        <v>11.5</v>
      </c>
      <c r="F11982" s="3" t="inlineStr">
        <is>
          <t>유구읍</t>
        </is>
      </c>
      <c r="G11982" s="3" t="inlineStr">
        <is>
          <t>석남리</t>
        </is>
      </c>
      <c r="H11982" s="3" t="inlineStr">
        <is>
          <t>자연녹지지역</t>
        </is>
      </c>
      <c r="I11982" s="3" t="inlineStr">
        <is>
          <t>도로</t>
        </is>
      </c>
      <c r="J11982" s="3" t="inlineStr">
        <is>
          <t>유구읍</t>
        </is>
      </c>
    </row>
    <row r="11983">
      <c r="A11983" s="3" t="n">
        <v>2024</v>
      </c>
      <c r="B11983" s="4" t="n">
        <v>11500</v>
      </c>
      <c r="C11983" s="4" t="n">
        <v>3610</v>
      </c>
      <c r="D11983" s="4" t="n">
        <v>1092.025</v>
      </c>
      <c r="E11983" s="5" t="n">
        <v>10.5</v>
      </c>
      <c r="F11983" s="3" t="inlineStr">
        <is>
          <t>유구읍</t>
        </is>
      </c>
      <c r="G11983" s="3" t="inlineStr">
        <is>
          <t>백교리</t>
        </is>
      </c>
      <c r="H11983" s="3" t="inlineStr">
        <is>
          <t>농림지역</t>
        </is>
      </c>
      <c r="I11983" s="3" t="inlineStr">
        <is>
          <t>답</t>
        </is>
      </c>
      <c r="J11983" s="3" t="inlineStr">
        <is>
          <t>유구읍</t>
        </is>
      </c>
    </row>
    <row r="11984">
      <c r="A11984" s="3" t="n">
        <v>2024</v>
      </c>
      <c r="B11984" s="4" t="n">
        <v>2832</v>
      </c>
      <c r="C11984" s="4" t="n">
        <v>151</v>
      </c>
      <c r="D11984" s="4" t="n">
        <v>45.6775</v>
      </c>
      <c r="E11984" s="5" t="n">
        <v>62</v>
      </c>
      <c r="F11984" s="3" t="inlineStr">
        <is>
          <t>유구읍</t>
        </is>
      </c>
      <c r="G11984" s="3" t="inlineStr">
        <is>
          <t>유구리</t>
        </is>
      </c>
      <c r="H11984" s="3" t="inlineStr">
        <is>
          <t>제2종일반주거지역</t>
        </is>
      </c>
      <c r="I11984" s="3" t="inlineStr">
        <is>
          <t>전</t>
        </is>
      </c>
      <c r="J11984" s="3" t="inlineStr">
        <is>
          <t>유구읍</t>
        </is>
      </c>
    </row>
    <row r="11985">
      <c r="A11985" s="3" t="n">
        <v>2024</v>
      </c>
      <c r="B11985" s="4" t="n">
        <v>4600</v>
      </c>
      <c r="C11985" s="4" t="n">
        <v>632</v>
      </c>
      <c r="D11985" s="4" t="n">
        <v>191.18</v>
      </c>
      <c r="E11985" s="5" t="n">
        <v>24.1</v>
      </c>
      <c r="F11985" s="3" t="inlineStr">
        <is>
          <t>유구읍</t>
        </is>
      </c>
      <c r="G11985" s="3" t="inlineStr">
        <is>
          <t>유구리</t>
        </is>
      </c>
      <c r="H11985" s="3" t="inlineStr">
        <is>
          <t>자연녹지지역</t>
        </is>
      </c>
      <c r="I11985" s="3" t="inlineStr">
        <is>
          <t>전</t>
        </is>
      </c>
      <c r="J11985" s="3" t="inlineStr">
        <is>
          <t>유구읍</t>
        </is>
      </c>
    </row>
    <row r="11986">
      <c r="A11986" s="3" t="n">
        <v>2024</v>
      </c>
      <c r="B11986" s="4" t="n">
        <v>260</v>
      </c>
      <c r="C11986" s="4" t="n">
        <v>46</v>
      </c>
      <c r="D11986" s="4" t="n">
        <v>13.915</v>
      </c>
      <c r="E11986" s="5" t="n">
        <v>18.7</v>
      </c>
      <c r="F11986" s="3" t="inlineStr">
        <is>
          <t>유구읍</t>
        </is>
      </c>
      <c r="G11986" s="3" t="inlineStr">
        <is>
          <t>추계리</t>
        </is>
      </c>
      <c r="H11986" s="3" t="inlineStr">
        <is>
          <t>계획관리지역</t>
        </is>
      </c>
      <c r="I11986" s="3" t="inlineStr">
        <is>
          <t>답</t>
        </is>
      </c>
      <c r="J11986" s="3" t="inlineStr">
        <is>
          <t>유구읍</t>
        </is>
      </c>
    </row>
    <row r="11987">
      <c r="A11987" s="3" t="n">
        <v>2024</v>
      </c>
      <c r="B11987" s="4" t="n">
        <v>435</v>
      </c>
      <c r="C11987" s="4" t="n">
        <v>53</v>
      </c>
      <c r="D11987" s="4" t="n">
        <v>16.0325</v>
      </c>
      <c r="E11987" s="5" t="n">
        <v>27.1</v>
      </c>
      <c r="F11987" s="3" t="inlineStr">
        <is>
          <t>유구읍</t>
        </is>
      </c>
      <c r="G11987" s="3" t="inlineStr">
        <is>
          <t>백교리</t>
        </is>
      </c>
      <c r="H11987" s="3" t="inlineStr">
        <is>
          <t>일반상업지역</t>
        </is>
      </c>
      <c r="I11987" s="3" t="inlineStr">
        <is>
          <t>창고용지</t>
        </is>
      </c>
      <c r="J11987" s="3" t="inlineStr">
        <is>
          <t>유구읍</t>
        </is>
      </c>
    </row>
    <row r="11988">
      <c r="A11988" s="3" t="n">
        <v>2024</v>
      </c>
      <c r="B11988" s="4" t="n">
        <v>972</v>
      </c>
      <c r="C11988" s="4" t="n">
        <v>187</v>
      </c>
      <c r="D11988" s="4" t="n">
        <v>56.5675</v>
      </c>
      <c r="E11988" s="5" t="n">
        <v>17.2</v>
      </c>
      <c r="F11988" s="3" t="inlineStr">
        <is>
          <t>유구읍</t>
        </is>
      </c>
      <c r="G11988" s="3" t="inlineStr">
        <is>
          <t>백교리</t>
        </is>
      </c>
      <c r="H11988" s="3" t="inlineStr">
        <is>
          <t>일반상업지역</t>
        </is>
      </c>
      <c r="I11988" s="3" t="inlineStr">
        <is>
          <t>전</t>
        </is>
      </c>
      <c r="J11988" s="3" t="inlineStr">
        <is>
          <t>유구읍</t>
        </is>
      </c>
    </row>
    <row r="11989">
      <c r="A11989" s="3" t="n">
        <v>2024</v>
      </c>
      <c r="B11989" s="4" t="n">
        <v>2000</v>
      </c>
      <c r="C11989" s="4" t="n">
        <v>588</v>
      </c>
      <c r="D11989" s="4" t="n">
        <v>177.87</v>
      </c>
      <c r="E11989" s="5" t="n">
        <v>11.2</v>
      </c>
      <c r="F11989" s="3" t="inlineStr">
        <is>
          <t>유구읍</t>
        </is>
      </c>
      <c r="G11989" s="3" t="inlineStr">
        <is>
          <t>문금리</t>
        </is>
      </c>
      <c r="H11989" s="3" t="inlineStr">
        <is>
          <t>계획관리지역</t>
        </is>
      </c>
      <c r="I11989" s="3" t="inlineStr">
        <is>
          <t>전</t>
        </is>
      </c>
      <c r="J11989" s="3" t="inlineStr">
        <is>
          <t>유구읍</t>
        </is>
      </c>
    </row>
    <row r="11990">
      <c r="A11990" s="3" t="n">
        <v>2024</v>
      </c>
      <c r="B11990" s="4" t="n">
        <v>11100</v>
      </c>
      <c r="C11990" s="4" t="n">
        <v>888</v>
      </c>
      <c r="D11990" s="4" t="n">
        <v>268.62</v>
      </c>
      <c r="E11990" s="5" t="n">
        <v>41.3</v>
      </c>
      <c r="F11990" s="3" t="inlineStr">
        <is>
          <t>유구읍</t>
        </is>
      </c>
      <c r="G11990" s="3" t="inlineStr">
        <is>
          <t>신달리</t>
        </is>
      </c>
      <c r="H11990" s="3" t="inlineStr">
        <is>
          <t>일반상업지역</t>
        </is>
      </c>
      <c r="I11990" s="3" t="inlineStr">
        <is>
          <t>전</t>
        </is>
      </c>
      <c r="J11990" s="3" t="inlineStr">
        <is>
          <t>유구읍</t>
        </is>
      </c>
    </row>
    <row r="11991">
      <c r="A11991" s="3" t="n">
        <v>2024</v>
      </c>
      <c r="B11991" s="4" t="n">
        <v>400</v>
      </c>
      <c r="C11991" s="4" t="n">
        <v>27</v>
      </c>
      <c r="D11991" s="4" t="n">
        <v>8.1675</v>
      </c>
      <c r="E11991" s="5" t="n">
        <v>49</v>
      </c>
      <c r="F11991" s="3" t="inlineStr">
        <is>
          <t>유구읍</t>
        </is>
      </c>
      <c r="G11991" s="3" t="inlineStr">
        <is>
          <t>신달리</t>
        </is>
      </c>
      <c r="H11991" s="3" t="inlineStr">
        <is>
          <t>일반상업지역</t>
        </is>
      </c>
      <c r="I11991" s="3" t="inlineStr">
        <is>
          <t>전</t>
        </is>
      </c>
      <c r="J11991" s="3" t="inlineStr">
        <is>
          <t>유구읍</t>
        </is>
      </c>
    </row>
    <row r="11992">
      <c r="A11992" s="3" t="n">
        <v>2023</v>
      </c>
      <c r="B11992" s="4" t="n">
        <v>7719</v>
      </c>
      <c r="C11992" s="4" t="n">
        <v>2549</v>
      </c>
      <c r="D11992" s="4" t="n">
        <v>771.0725</v>
      </c>
      <c r="E11992" s="5" t="n">
        <v>10</v>
      </c>
      <c r="F11992" s="3" t="inlineStr">
        <is>
          <t>유구읍</t>
        </is>
      </c>
      <c r="G11992" s="3" t="inlineStr">
        <is>
          <t>신영리</t>
        </is>
      </c>
      <c r="H11992" s="3" t="inlineStr">
        <is>
          <t>농림지역</t>
        </is>
      </c>
      <c r="I11992" s="3" t="inlineStr">
        <is>
          <t>하천</t>
        </is>
      </c>
      <c r="J11992" s="3" t="inlineStr">
        <is>
          <t>유구읍</t>
        </is>
      </c>
    </row>
    <row r="11993">
      <c r="A11993" s="3" t="n">
        <v>2023</v>
      </c>
      <c r="B11993" s="4" t="n">
        <v>890</v>
      </c>
      <c r="C11993" s="4" t="n">
        <v>294</v>
      </c>
      <c r="D11993" s="4" t="n">
        <v>88.935</v>
      </c>
      <c r="E11993" s="5" t="n">
        <v>10</v>
      </c>
      <c r="F11993" s="3" t="inlineStr">
        <is>
          <t>유구읍</t>
        </is>
      </c>
      <c r="G11993" s="3" t="inlineStr">
        <is>
          <t>신영리</t>
        </is>
      </c>
      <c r="H11993" s="3" t="inlineStr">
        <is>
          <t>농림지역</t>
        </is>
      </c>
      <c r="I11993" s="3" t="inlineStr">
        <is>
          <t>하천</t>
        </is>
      </c>
      <c r="J11993" s="3" t="inlineStr">
        <is>
          <t>유구읍</t>
        </is>
      </c>
    </row>
    <row r="11994">
      <c r="A11994" s="3" t="n">
        <v>2023</v>
      </c>
      <c r="B11994" s="4" t="n">
        <v>451</v>
      </c>
      <c r="C11994" s="4" t="n">
        <v>149</v>
      </c>
      <c r="D11994" s="4" t="n">
        <v>45.0725</v>
      </c>
      <c r="E11994" s="5" t="n">
        <v>10</v>
      </c>
      <c r="F11994" s="3" t="inlineStr">
        <is>
          <t>유구읍</t>
        </is>
      </c>
      <c r="G11994" s="3" t="inlineStr">
        <is>
          <t>신영리</t>
        </is>
      </c>
      <c r="H11994" s="3" t="inlineStr">
        <is>
          <t>농림지역</t>
        </is>
      </c>
      <c r="I11994" s="3" t="inlineStr">
        <is>
          <t>하천</t>
        </is>
      </c>
      <c r="J11994" s="3" t="inlineStr">
        <is>
          <t>유구읍</t>
        </is>
      </c>
    </row>
    <row r="11995">
      <c r="A11995" s="3" t="n">
        <v>2023</v>
      </c>
      <c r="B11995" s="4" t="n">
        <v>2744</v>
      </c>
      <c r="C11995" s="4" t="n">
        <v>906</v>
      </c>
      <c r="D11995" s="4" t="n">
        <v>274.065</v>
      </c>
      <c r="E11995" s="5" t="n">
        <v>10</v>
      </c>
      <c r="F11995" s="3" t="inlineStr">
        <is>
          <t>유구읍</t>
        </is>
      </c>
      <c r="G11995" s="3" t="inlineStr">
        <is>
          <t>신영리</t>
        </is>
      </c>
      <c r="H11995" s="3" t="inlineStr">
        <is>
          <t>농림지역</t>
        </is>
      </c>
      <c r="I11995" s="3" t="inlineStr">
        <is>
          <t>하천</t>
        </is>
      </c>
      <c r="J11995" s="3" t="inlineStr">
        <is>
          <t>유구읍</t>
        </is>
      </c>
    </row>
    <row r="11996">
      <c r="A11996" s="3" t="n">
        <v>2023</v>
      </c>
      <c r="B11996" s="4" t="n">
        <v>842</v>
      </c>
      <c r="C11996" s="4" t="n">
        <v>278</v>
      </c>
      <c r="D11996" s="4" t="n">
        <v>84.095</v>
      </c>
      <c r="E11996" s="5" t="n">
        <v>10</v>
      </c>
      <c r="F11996" s="3" t="inlineStr">
        <is>
          <t>유구읍</t>
        </is>
      </c>
      <c r="G11996" s="3" t="inlineStr">
        <is>
          <t>신영리</t>
        </is>
      </c>
      <c r="H11996" s="3" t="inlineStr">
        <is>
          <t>농림지역</t>
        </is>
      </c>
      <c r="I11996" s="3" t="inlineStr">
        <is>
          <t>하천</t>
        </is>
      </c>
      <c r="J11996" s="3" t="inlineStr">
        <is>
          <t>유구읍</t>
        </is>
      </c>
    </row>
    <row r="11997">
      <c r="A11997" s="3" t="n">
        <v>2023</v>
      </c>
      <c r="B11997" s="4" t="n">
        <v>3304</v>
      </c>
      <c r="C11997" s="4" t="n">
        <v>1091</v>
      </c>
      <c r="D11997" s="4" t="n">
        <v>330.0275</v>
      </c>
      <c r="E11997" s="5" t="n">
        <v>10</v>
      </c>
      <c r="F11997" s="3" t="inlineStr">
        <is>
          <t>유구읍</t>
        </is>
      </c>
      <c r="G11997" s="3" t="inlineStr">
        <is>
          <t>신영리</t>
        </is>
      </c>
      <c r="H11997" s="3" t="inlineStr">
        <is>
          <t>농림지역</t>
        </is>
      </c>
      <c r="I11997" s="3" t="inlineStr">
        <is>
          <t>하천</t>
        </is>
      </c>
      <c r="J11997" s="3" t="inlineStr">
        <is>
          <t>유구읍</t>
        </is>
      </c>
    </row>
    <row r="11998">
      <c r="A11998" s="3" t="n">
        <v>2023</v>
      </c>
      <c r="B11998" s="4" t="n">
        <v>9000</v>
      </c>
      <c r="C11998" s="4" t="n">
        <v>1219</v>
      </c>
      <c r="D11998" s="4" t="n">
        <v>368.7475</v>
      </c>
      <c r="E11998" s="5" t="n">
        <v>24.4</v>
      </c>
      <c r="F11998" s="3" t="inlineStr">
        <is>
          <t>유구읍</t>
        </is>
      </c>
      <c r="G11998" s="3" t="inlineStr">
        <is>
          <t>명곡리</t>
        </is>
      </c>
      <c r="H11998" s="3" t="inlineStr">
        <is>
          <t>농림지역</t>
        </is>
      </c>
      <c r="I11998" s="3" t="inlineStr">
        <is>
          <t>전</t>
        </is>
      </c>
      <c r="J11998" s="3" t="inlineStr">
        <is>
          <t>유구읍</t>
        </is>
      </c>
    </row>
    <row r="11999">
      <c r="A11999" s="3" t="n">
        <v>2023</v>
      </c>
      <c r="B11999" s="4" t="n">
        <v>4410</v>
      </c>
      <c r="C11999" s="4" t="n">
        <v>486</v>
      </c>
      <c r="D11999" s="4" t="n">
        <v>147.015</v>
      </c>
      <c r="E11999" s="5" t="n">
        <v>30</v>
      </c>
      <c r="F11999" s="3" t="inlineStr">
        <is>
          <t>유구읍</t>
        </is>
      </c>
      <c r="G11999" s="3" t="inlineStr">
        <is>
          <t>명곡리</t>
        </is>
      </c>
      <c r="H11999" s="3" t="inlineStr">
        <is>
          <t>계획관리지역</t>
        </is>
      </c>
      <c r="I11999" s="3" t="inlineStr">
        <is>
          <t>대</t>
        </is>
      </c>
      <c r="J11999" s="3" t="inlineStr">
        <is>
          <t>유구읍</t>
        </is>
      </c>
    </row>
    <row r="12000">
      <c r="A12000" s="3" t="n">
        <v>2023</v>
      </c>
      <c r="B12000" s="4" t="n">
        <v>10600</v>
      </c>
      <c r="C12000" s="4" t="n">
        <v>1167</v>
      </c>
      <c r="D12000" s="4" t="n">
        <v>353.0175</v>
      </c>
      <c r="E12000" s="5" t="n">
        <v>30</v>
      </c>
      <c r="F12000" s="3" t="inlineStr">
        <is>
          <t>유구읍</t>
        </is>
      </c>
      <c r="G12000" s="3" t="inlineStr">
        <is>
          <t>명곡리</t>
        </is>
      </c>
      <c r="H12000" s="3" t="inlineStr">
        <is>
          <t>계획관리지역</t>
        </is>
      </c>
      <c r="I12000" s="3" t="inlineStr">
        <is>
          <t>전</t>
        </is>
      </c>
      <c r="J12000" s="3" t="inlineStr">
        <is>
          <t>유구읍</t>
        </is>
      </c>
    </row>
    <row r="12001">
      <c r="A12001" s="3" t="n">
        <v>2023</v>
      </c>
      <c r="B12001" s="4" t="n">
        <v>13520</v>
      </c>
      <c r="C12001" s="4" t="n">
        <v>1489</v>
      </c>
      <c r="D12001" s="4" t="n">
        <v>450.4225</v>
      </c>
      <c r="E12001" s="5" t="n">
        <v>30</v>
      </c>
      <c r="F12001" s="3" t="inlineStr">
        <is>
          <t>유구읍</t>
        </is>
      </c>
      <c r="G12001" s="3" t="inlineStr">
        <is>
          <t>명곡리</t>
        </is>
      </c>
      <c r="H12001" s="3" t="inlineStr">
        <is>
          <t>계획관리지역</t>
        </is>
      </c>
      <c r="I12001" s="3" t="inlineStr">
        <is>
          <t>전</t>
        </is>
      </c>
      <c r="J12001" s="3" t="inlineStr">
        <is>
          <t>유구읍</t>
        </is>
      </c>
    </row>
    <row r="12002">
      <c r="A12002" s="3" t="n">
        <v>2023</v>
      </c>
      <c r="B12002" s="4" t="n">
        <v>10500</v>
      </c>
      <c r="C12002" s="4" t="n">
        <v>1157</v>
      </c>
      <c r="D12002" s="4" t="n">
        <v>349.9925</v>
      </c>
      <c r="E12002" s="5" t="n">
        <v>30</v>
      </c>
      <c r="F12002" s="3" t="inlineStr">
        <is>
          <t>유구읍</t>
        </is>
      </c>
      <c r="G12002" s="3" t="inlineStr">
        <is>
          <t>명곡리</t>
        </is>
      </c>
      <c r="H12002" s="3" t="inlineStr">
        <is>
          <t>계획관리지역</t>
        </is>
      </c>
      <c r="I12002" s="3" t="inlineStr">
        <is>
          <t>전</t>
        </is>
      </c>
      <c r="J12002" s="3" t="inlineStr">
        <is>
          <t>유구읍</t>
        </is>
      </c>
    </row>
    <row r="12003">
      <c r="A12003" s="3" t="n">
        <v>2023</v>
      </c>
      <c r="B12003" s="4" t="n">
        <v>6970</v>
      </c>
      <c r="C12003" s="4" t="n">
        <v>768</v>
      </c>
      <c r="D12003" s="4" t="n">
        <v>232.32</v>
      </c>
      <c r="E12003" s="5" t="n">
        <v>30</v>
      </c>
      <c r="F12003" s="3" t="inlineStr">
        <is>
          <t>유구읍</t>
        </is>
      </c>
      <c r="G12003" s="3" t="inlineStr">
        <is>
          <t>명곡리</t>
        </is>
      </c>
      <c r="H12003" s="3" t="inlineStr">
        <is>
          <t>계획관리지역</t>
        </is>
      </c>
      <c r="I12003" s="3" t="inlineStr">
        <is>
          <t>전</t>
        </is>
      </c>
      <c r="J12003" s="3" t="inlineStr">
        <is>
          <t>유구읍</t>
        </is>
      </c>
    </row>
    <row r="12004">
      <c r="A12004" s="3" t="n">
        <v>2023</v>
      </c>
      <c r="B12004" s="4" t="n">
        <v>1200</v>
      </c>
      <c r="C12004" s="4" t="n">
        <v>377</v>
      </c>
      <c r="D12004" s="4" t="n">
        <v>114.0425</v>
      </c>
      <c r="E12004" s="5" t="n">
        <v>10.5</v>
      </c>
      <c r="F12004" s="3" t="inlineStr">
        <is>
          <t>유구읍</t>
        </is>
      </c>
      <c r="G12004" s="3" t="inlineStr">
        <is>
          <t>녹천리</t>
        </is>
      </c>
      <c r="H12004" s="3" t="inlineStr">
        <is>
          <t>계획관리지역</t>
        </is>
      </c>
      <c r="I12004" s="3" t="inlineStr">
        <is>
          <t>전</t>
        </is>
      </c>
      <c r="J12004" s="3" t="inlineStr">
        <is>
          <t>유구읍</t>
        </is>
      </c>
    </row>
    <row r="12005">
      <c r="A12005" s="3" t="n">
        <v>2023</v>
      </c>
      <c r="B12005" s="4" t="n">
        <v>400</v>
      </c>
      <c r="C12005" s="4" t="n">
        <v>162</v>
      </c>
      <c r="D12005" s="4" t="n">
        <v>49.005</v>
      </c>
      <c r="E12005" s="5" t="n">
        <v>8.199999999999999</v>
      </c>
      <c r="F12005" s="3" t="inlineStr">
        <is>
          <t>유구읍</t>
        </is>
      </c>
      <c r="G12005" s="3" t="inlineStr">
        <is>
          <t>녹천리</t>
        </is>
      </c>
      <c r="H12005" s="3" t="inlineStr">
        <is>
          <t>계획관리지역</t>
        </is>
      </c>
      <c r="I12005" s="3" t="inlineStr">
        <is>
          <t>대</t>
        </is>
      </c>
      <c r="J12005" s="3" t="inlineStr">
        <is>
          <t>유구읍</t>
        </is>
      </c>
    </row>
    <row r="12006">
      <c r="A12006" s="3" t="n">
        <v>2023</v>
      </c>
      <c r="B12006" s="4" t="n">
        <v>4000</v>
      </c>
      <c r="C12006" s="4" t="n">
        <v>739</v>
      </c>
      <c r="D12006" s="4" t="n">
        <v>223.5475</v>
      </c>
      <c r="E12006" s="5" t="n">
        <v>17.9</v>
      </c>
      <c r="F12006" s="3" t="inlineStr">
        <is>
          <t>유구읍</t>
        </is>
      </c>
      <c r="G12006" s="3" t="inlineStr">
        <is>
          <t>명곡리</t>
        </is>
      </c>
      <c r="H12006" s="3" t="inlineStr">
        <is>
          <t>계획관리지역</t>
        </is>
      </c>
      <c r="I12006" s="3" t="inlineStr">
        <is>
          <t>전</t>
        </is>
      </c>
      <c r="J12006" s="3" t="inlineStr">
        <is>
          <t>유구읍</t>
        </is>
      </c>
    </row>
    <row r="12007">
      <c r="A12007" s="3" t="n">
        <v>2023</v>
      </c>
      <c r="B12007" s="4" t="n">
        <v>1500</v>
      </c>
      <c r="C12007" s="4" t="n">
        <v>330</v>
      </c>
      <c r="D12007" s="4" t="n">
        <v>99.825</v>
      </c>
      <c r="E12007" s="5" t="n">
        <v>15</v>
      </c>
      <c r="F12007" s="3" t="inlineStr">
        <is>
          <t>유구읍</t>
        </is>
      </c>
      <c r="G12007" s="3" t="inlineStr">
        <is>
          <t>문금리</t>
        </is>
      </c>
      <c r="H12007" s="3" t="inlineStr">
        <is>
          <t>계획관리지역</t>
        </is>
      </c>
      <c r="I12007" s="3" t="inlineStr">
        <is>
          <t>답</t>
        </is>
      </c>
      <c r="J12007" s="3" t="inlineStr">
        <is>
          <t>유구읍</t>
        </is>
      </c>
    </row>
    <row r="12008">
      <c r="A12008" s="3" t="n">
        <v>2023</v>
      </c>
      <c r="B12008" s="4" t="n">
        <v>6450</v>
      </c>
      <c r="C12008" s="4" t="n">
        <v>992</v>
      </c>
      <c r="D12008" s="4" t="n">
        <v>300.08</v>
      </c>
      <c r="E12008" s="5" t="n">
        <v>21.5</v>
      </c>
      <c r="F12008" s="3" t="inlineStr">
        <is>
          <t>유구읍</t>
        </is>
      </c>
      <c r="G12008" s="3" t="inlineStr">
        <is>
          <t>문금리</t>
        </is>
      </c>
      <c r="H12008" s="3" t="inlineStr">
        <is>
          <t>계획관리지역</t>
        </is>
      </c>
      <c r="I12008" s="3" t="inlineStr">
        <is>
          <t>전</t>
        </is>
      </c>
      <c r="J12008" s="3" t="inlineStr">
        <is>
          <t>유구읍</t>
        </is>
      </c>
    </row>
    <row r="12009">
      <c r="A12009" s="3" t="n">
        <v>2023</v>
      </c>
      <c r="B12009" s="4" t="n">
        <v>3075</v>
      </c>
      <c r="C12009" s="4" t="n">
        <v>473</v>
      </c>
      <c r="D12009" s="4" t="n">
        <v>143.0825</v>
      </c>
      <c r="E12009" s="5" t="n">
        <v>21.5</v>
      </c>
      <c r="F12009" s="3" t="inlineStr">
        <is>
          <t>유구읍</t>
        </is>
      </c>
      <c r="G12009" s="3" t="inlineStr">
        <is>
          <t>문금리</t>
        </is>
      </c>
      <c r="H12009" s="3" t="inlineStr">
        <is>
          <t>계획관리지역</t>
        </is>
      </c>
      <c r="I12009" s="3" t="inlineStr">
        <is>
          <t>전</t>
        </is>
      </c>
      <c r="J12009" s="3" t="inlineStr">
        <is>
          <t>유구읍</t>
        </is>
      </c>
    </row>
    <row r="12010">
      <c r="A12010" s="3" t="n">
        <v>2023</v>
      </c>
      <c r="B12010" s="4" t="n">
        <v>8514</v>
      </c>
      <c r="C12010" s="4" t="n">
        <v>1309</v>
      </c>
      <c r="D12010" s="4" t="n">
        <v>395.9725</v>
      </c>
      <c r="E12010" s="5" t="n">
        <v>21.5</v>
      </c>
      <c r="F12010" s="3" t="inlineStr">
        <is>
          <t>유구읍</t>
        </is>
      </c>
      <c r="G12010" s="3" t="inlineStr">
        <is>
          <t>문금리</t>
        </is>
      </c>
      <c r="H12010" s="3" t="inlineStr">
        <is>
          <t>계획관리지역</t>
        </is>
      </c>
      <c r="I12010" s="3" t="inlineStr">
        <is>
          <t>전</t>
        </is>
      </c>
      <c r="J12010" s="3" t="inlineStr">
        <is>
          <t>유구읍</t>
        </is>
      </c>
    </row>
    <row r="12011">
      <c r="A12011" s="3" t="n">
        <v>2023</v>
      </c>
      <c r="B12011" s="4" t="n">
        <v>1376</v>
      </c>
      <c r="C12011" s="4" t="n">
        <v>212</v>
      </c>
      <c r="D12011" s="4" t="n">
        <v>64.13</v>
      </c>
      <c r="E12011" s="5" t="n">
        <v>21.5</v>
      </c>
      <c r="F12011" s="3" t="inlineStr">
        <is>
          <t>유구읍</t>
        </is>
      </c>
      <c r="G12011" s="3" t="inlineStr">
        <is>
          <t>문금리</t>
        </is>
      </c>
      <c r="H12011" s="3" t="inlineStr">
        <is>
          <t>계획관리지역</t>
        </is>
      </c>
      <c r="I12011" s="3" t="inlineStr">
        <is>
          <t>대</t>
        </is>
      </c>
      <c r="J12011" s="3" t="inlineStr">
        <is>
          <t>유구읍</t>
        </is>
      </c>
    </row>
    <row r="12012">
      <c r="A12012" s="3" t="n">
        <v>2023</v>
      </c>
      <c r="B12012" s="4" t="n">
        <v>2700</v>
      </c>
      <c r="C12012" s="4" t="n">
        <v>358</v>
      </c>
      <c r="D12012" s="4" t="n">
        <v>108.295</v>
      </c>
      <c r="E12012" s="5" t="n">
        <v>24.9</v>
      </c>
      <c r="F12012" s="3" t="inlineStr">
        <is>
          <t>유구읍</t>
        </is>
      </c>
      <c r="G12012" s="3" t="inlineStr">
        <is>
          <t>문금리</t>
        </is>
      </c>
      <c r="H12012" s="3" t="inlineStr">
        <is>
          <t>계획관리지역</t>
        </is>
      </c>
      <c r="I12012" s="3" t="inlineStr">
        <is>
          <t>전</t>
        </is>
      </c>
      <c r="J12012" s="3" t="inlineStr">
        <is>
          <t>유구읍</t>
        </is>
      </c>
    </row>
    <row r="12013">
      <c r="A12013" s="3" t="n">
        <v>2023</v>
      </c>
      <c r="B12013" s="4" t="n">
        <v>10000</v>
      </c>
      <c r="C12013" s="4" t="n">
        <v>1613</v>
      </c>
      <c r="D12013" s="4" t="n">
        <v>487.9325</v>
      </c>
      <c r="E12013" s="5" t="n">
        <v>20.5</v>
      </c>
      <c r="F12013" s="3" t="inlineStr">
        <is>
          <t>유구읍</t>
        </is>
      </c>
      <c r="G12013" s="3" t="inlineStr">
        <is>
          <t>노동리</t>
        </is>
      </c>
      <c r="H12013" s="3" t="inlineStr">
        <is>
          <t>계획관리지역</t>
        </is>
      </c>
      <c r="I12013" s="3" t="inlineStr">
        <is>
          <t>전</t>
        </is>
      </c>
      <c r="J12013" s="3" t="inlineStr">
        <is>
          <t>유구읍</t>
        </is>
      </c>
    </row>
    <row r="12014">
      <c r="A12014" s="3" t="n">
        <v>2023</v>
      </c>
      <c r="B12014" s="4" t="n">
        <v>350</v>
      </c>
      <c r="C12014" s="4" t="n">
        <v>6</v>
      </c>
      <c r="D12014" s="4" t="n">
        <v>1.815</v>
      </c>
      <c r="E12014" s="5" t="n">
        <v>192.8</v>
      </c>
      <c r="F12014" s="3" t="inlineStr">
        <is>
          <t>유구읍</t>
        </is>
      </c>
      <c r="G12014" s="3" t="inlineStr">
        <is>
          <t>녹천리</t>
        </is>
      </c>
      <c r="H12014" s="3" t="inlineStr">
        <is>
          <t>준공업지역</t>
        </is>
      </c>
      <c r="I12014" s="3" t="inlineStr">
        <is>
          <t>전</t>
        </is>
      </c>
      <c r="J12014" s="3" t="inlineStr">
        <is>
          <t>유구읍</t>
        </is>
      </c>
    </row>
    <row r="12015">
      <c r="A12015" s="3" t="n">
        <v>2023</v>
      </c>
      <c r="B12015" s="4" t="n">
        <v>12073</v>
      </c>
      <c r="C12015" s="4" t="n">
        <v>994</v>
      </c>
      <c r="D12015" s="4" t="n">
        <v>300.685</v>
      </c>
      <c r="E12015" s="5" t="n">
        <v>40.2</v>
      </c>
      <c r="F12015" s="3" t="inlineStr">
        <is>
          <t>유구읍</t>
        </is>
      </c>
      <c r="G12015" s="3" t="inlineStr">
        <is>
          <t>녹천리</t>
        </is>
      </c>
      <c r="H12015" s="3" t="inlineStr">
        <is>
          <t>농림지역</t>
        </is>
      </c>
      <c r="I12015" s="3" t="inlineStr">
        <is>
          <t>도로</t>
        </is>
      </c>
      <c r="J12015" s="3" t="inlineStr">
        <is>
          <t>유구읍</t>
        </is>
      </c>
    </row>
    <row r="12016">
      <c r="A12016" s="3" t="n">
        <v>2023</v>
      </c>
      <c r="B12016" s="4" t="n">
        <v>1780</v>
      </c>
      <c r="C12016" s="4" t="n">
        <v>3076</v>
      </c>
      <c r="D12016" s="4" t="n">
        <v>930.49</v>
      </c>
      <c r="E12016" s="5" t="n">
        <v>1.9</v>
      </c>
      <c r="F12016" s="3" t="inlineStr">
        <is>
          <t>유구읍</t>
        </is>
      </c>
      <c r="G12016" s="3" t="inlineStr">
        <is>
          <t>구계리</t>
        </is>
      </c>
      <c r="H12016" s="3" t="inlineStr">
        <is>
          <t>계획관리지역</t>
        </is>
      </c>
      <c r="I12016" s="3" t="inlineStr">
        <is>
          <t>묘지</t>
        </is>
      </c>
      <c r="J12016" s="3" t="inlineStr">
        <is>
          <t>유구읍</t>
        </is>
      </c>
    </row>
    <row r="12017">
      <c r="A12017" s="3" t="n">
        <v>2023</v>
      </c>
      <c r="B12017" s="4" t="n">
        <v>2300</v>
      </c>
      <c r="C12017" s="4" t="n">
        <v>1656</v>
      </c>
      <c r="D12017" s="4" t="n">
        <v>500.94</v>
      </c>
      <c r="E12017" s="5" t="n">
        <v>4.6</v>
      </c>
      <c r="F12017" s="3" t="inlineStr">
        <is>
          <t>유구읍</t>
        </is>
      </c>
      <c r="G12017" s="3" t="inlineStr">
        <is>
          <t>연종리</t>
        </is>
      </c>
      <c r="H12017" s="3" t="inlineStr">
        <is>
          <t>계획관리지역</t>
        </is>
      </c>
      <c r="I12017" s="3" t="inlineStr">
        <is>
          <t>전</t>
        </is>
      </c>
      <c r="J12017" s="3" t="inlineStr">
        <is>
          <t>유구읍</t>
        </is>
      </c>
    </row>
    <row r="12018">
      <c r="A12018" s="3" t="n">
        <v>2024</v>
      </c>
      <c r="B12018" s="4" t="n">
        <v>7200</v>
      </c>
      <c r="C12018" s="4" t="n">
        <v>1332</v>
      </c>
      <c r="D12018" s="4" t="n">
        <v>402.93</v>
      </c>
      <c r="E12018" s="5" t="n">
        <v>17.9</v>
      </c>
      <c r="F12018" s="3" t="inlineStr">
        <is>
          <t>유구읍</t>
        </is>
      </c>
      <c r="G12018" s="3" t="inlineStr">
        <is>
          <t>신영리</t>
        </is>
      </c>
      <c r="H12018" s="3" t="inlineStr">
        <is>
          <t>보전관리지역</t>
        </is>
      </c>
      <c r="I12018" s="3" t="inlineStr">
        <is>
          <t>전</t>
        </is>
      </c>
      <c r="J12018" s="3" t="inlineStr">
        <is>
          <t>유구읍</t>
        </is>
      </c>
    </row>
    <row r="12019">
      <c r="A12019" s="3" t="n">
        <v>2024</v>
      </c>
      <c r="B12019" s="4" t="n">
        <v>2970</v>
      </c>
      <c r="C12019" s="4" t="n">
        <v>1000</v>
      </c>
      <c r="D12019" s="4" t="n">
        <v>302.5</v>
      </c>
      <c r="E12019" s="5" t="n">
        <v>9.800000000000001</v>
      </c>
      <c r="F12019" s="3" t="inlineStr">
        <is>
          <t>유구읍</t>
        </is>
      </c>
      <c r="G12019" s="3" t="inlineStr">
        <is>
          <t>추계리</t>
        </is>
      </c>
      <c r="H12019" s="3" t="inlineStr">
        <is>
          <t>보전관리지역</t>
        </is>
      </c>
      <c r="I12019" s="3" t="inlineStr">
        <is>
          <t>전</t>
        </is>
      </c>
      <c r="J12019" s="3" t="inlineStr">
        <is>
          <t>유구읍</t>
        </is>
      </c>
    </row>
    <row r="12020">
      <c r="A12020" s="3" t="n">
        <v>2024</v>
      </c>
      <c r="B12020" s="4" t="n">
        <v>830</v>
      </c>
      <c r="C12020" s="4" t="n">
        <v>281</v>
      </c>
      <c r="D12020" s="4" t="n">
        <v>85.0025</v>
      </c>
      <c r="E12020" s="5" t="n">
        <v>9.800000000000001</v>
      </c>
      <c r="F12020" s="3" t="inlineStr">
        <is>
          <t>유구읍</t>
        </is>
      </c>
      <c r="G12020" s="3" t="inlineStr">
        <is>
          <t>추계리</t>
        </is>
      </c>
      <c r="H12020" s="3" t="inlineStr">
        <is>
          <t>보전관리지역</t>
        </is>
      </c>
      <c r="I12020" s="3" t="inlineStr">
        <is>
          <t>답</t>
        </is>
      </c>
      <c r="J12020" s="3" t="inlineStr">
        <is>
          <t>유구읍</t>
        </is>
      </c>
    </row>
    <row r="12021">
      <c r="A12021" s="3" t="n">
        <v>2024</v>
      </c>
      <c r="B12021" s="4" t="n">
        <v>1530</v>
      </c>
      <c r="C12021" s="4" t="n">
        <v>516</v>
      </c>
      <c r="D12021" s="4" t="n">
        <v>156.09</v>
      </c>
      <c r="E12021" s="5" t="n">
        <v>9.800000000000001</v>
      </c>
      <c r="F12021" s="3" t="inlineStr">
        <is>
          <t>유구읍</t>
        </is>
      </c>
      <c r="G12021" s="3" t="inlineStr">
        <is>
          <t>추계리</t>
        </is>
      </c>
      <c r="H12021" s="3" t="inlineStr">
        <is>
          <t>보전관리지역</t>
        </is>
      </c>
      <c r="I12021" s="3" t="inlineStr">
        <is>
          <t>전</t>
        </is>
      </c>
      <c r="J12021" s="3" t="inlineStr">
        <is>
          <t>유구읍</t>
        </is>
      </c>
    </row>
    <row r="12022">
      <c r="A12022" s="3" t="n">
        <v>2024</v>
      </c>
      <c r="B12022" s="4" t="n">
        <v>2020</v>
      </c>
      <c r="C12022" s="4" t="n">
        <v>681</v>
      </c>
      <c r="D12022" s="4" t="n">
        <v>206.0025</v>
      </c>
      <c r="E12022" s="5" t="n">
        <v>9.800000000000001</v>
      </c>
      <c r="F12022" s="3" t="inlineStr">
        <is>
          <t>유구읍</t>
        </is>
      </c>
      <c r="G12022" s="3" t="inlineStr">
        <is>
          <t>추계리</t>
        </is>
      </c>
      <c r="H12022" s="3" t="inlineStr">
        <is>
          <t>보전관리지역</t>
        </is>
      </c>
      <c r="I12022" s="3" t="inlineStr">
        <is>
          <t>답</t>
        </is>
      </c>
      <c r="J12022" s="3" t="inlineStr">
        <is>
          <t>유구읍</t>
        </is>
      </c>
    </row>
    <row r="12023">
      <c r="A12023" s="3" t="n">
        <v>2025</v>
      </c>
      <c r="B12023" s="4" t="n">
        <v>5986</v>
      </c>
      <c r="C12023" s="4" t="n">
        <v>509</v>
      </c>
      <c r="D12023" s="4" t="n">
        <v>153.9725</v>
      </c>
      <c r="E12023" s="5" t="n">
        <v>38.9</v>
      </c>
      <c r="F12023" s="3" t="inlineStr">
        <is>
          <t>유구읍</t>
        </is>
      </c>
      <c r="G12023" s="3" t="inlineStr">
        <is>
          <t>녹천리</t>
        </is>
      </c>
      <c r="H12023" s="3" t="inlineStr">
        <is>
          <t>제2종일반주거지역</t>
        </is>
      </c>
      <c r="I12023" s="3" t="inlineStr">
        <is>
          <t>대</t>
        </is>
      </c>
      <c r="J12023" s="3" t="inlineStr">
        <is>
          <t>유구읍</t>
        </is>
      </c>
    </row>
    <row r="12024">
      <c r="A12024" s="3" t="n">
        <v>2025</v>
      </c>
      <c r="B12024" s="4" t="n">
        <v>8178</v>
      </c>
      <c r="C12024" s="4" t="n">
        <v>466</v>
      </c>
      <c r="D12024" s="4" t="n">
        <v>140.965</v>
      </c>
      <c r="E12024" s="5" t="n">
        <v>58</v>
      </c>
      <c r="F12024" s="3" t="inlineStr">
        <is>
          <t>유구읍</t>
        </is>
      </c>
      <c r="G12024" s="3" t="inlineStr">
        <is>
          <t>석남리</t>
        </is>
      </c>
      <c r="H12024" s="3" t="inlineStr">
        <is>
          <t>생산녹지지역</t>
        </is>
      </c>
      <c r="I12024" s="3" t="inlineStr">
        <is>
          <t>답</t>
        </is>
      </c>
      <c r="J12024" s="3" t="inlineStr">
        <is>
          <t>유구읍</t>
        </is>
      </c>
    </row>
    <row r="12025">
      <c r="A12025" s="3" t="n">
        <v>2025</v>
      </c>
      <c r="B12025" s="4" t="n">
        <v>5916</v>
      </c>
      <c r="C12025" s="4" t="n">
        <v>337</v>
      </c>
      <c r="D12025" s="4" t="n">
        <v>101.9425</v>
      </c>
      <c r="E12025" s="5" t="n">
        <v>58</v>
      </c>
      <c r="F12025" s="3" t="inlineStr">
        <is>
          <t>유구읍</t>
        </is>
      </c>
      <c r="G12025" s="3" t="inlineStr">
        <is>
          <t>석남리</t>
        </is>
      </c>
      <c r="H12025" s="3" t="inlineStr">
        <is>
          <t>생산녹지지역</t>
        </is>
      </c>
      <c r="I12025" s="3" t="inlineStr">
        <is>
          <t>답</t>
        </is>
      </c>
      <c r="J12025" s="3" t="inlineStr">
        <is>
          <t>유구읍</t>
        </is>
      </c>
    </row>
    <row r="12026">
      <c r="A12026" s="3" t="n">
        <v>2025</v>
      </c>
      <c r="B12026" s="4" t="n">
        <v>18212</v>
      </c>
      <c r="C12026" s="4" t="n">
        <v>1038</v>
      </c>
      <c r="D12026" s="4" t="n">
        <v>313.995</v>
      </c>
      <c r="E12026" s="5" t="n">
        <v>58</v>
      </c>
      <c r="F12026" s="3" t="inlineStr">
        <is>
          <t>유구읍</t>
        </is>
      </c>
      <c r="G12026" s="3" t="inlineStr">
        <is>
          <t>석남리</t>
        </is>
      </c>
      <c r="H12026" s="3" t="inlineStr">
        <is>
          <t>생산녹지지역</t>
        </is>
      </c>
      <c r="I12026" s="3" t="inlineStr">
        <is>
          <t>답</t>
        </is>
      </c>
      <c r="J12026" s="3" t="inlineStr">
        <is>
          <t>유구읍</t>
        </is>
      </c>
    </row>
    <row r="12027">
      <c r="A12027" s="3" t="n">
        <v>2025</v>
      </c>
      <c r="B12027" s="4" t="n">
        <v>414</v>
      </c>
      <c r="C12027" s="4" t="n">
        <v>73</v>
      </c>
      <c r="D12027" s="4" t="n">
        <v>22.0825</v>
      </c>
      <c r="E12027" s="5" t="n">
        <v>18.7</v>
      </c>
      <c r="F12027" s="3" t="inlineStr">
        <is>
          <t>유구읍</t>
        </is>
      </c>
      <c r="G12027" s="3" t="inlineStr">
        <is>
          <t>석남리</t>
        </is>
      </c>
      <c r="H12027" s="3" t="inlineStr">
        <is>
          <t>준공업지역</t>
        </is>
      </c>
      <c r="I12027" s="3" t="inlineStr">
        <is>
          <t>공장용지</t>
        </is>
      </c>
      <c r="J12027" s="3" t="inlineStr">
        <is>
          <t>유구읍</t>
        </is>
      </c>
    </row>
    <row r="12028">
      <c r="A12028" s="3" t="n">
        <v>2025</v>
      </c>
      <c r="B12028" s="4" t="n">
        <v>9380</v>
      </c>
      <c r="C12028" s="4" t="n">
        <v>612</v>
      </c>
      <c r="D12028" s="4" t="n">
        <v>185.13</v>
      </c>
      <c r="E12028" s="5" t="n">
        <v>50.7</v>
      </c>
      <c r="F12028" s="3" t="inlineStr">
        <is>
          <t>유구읍</t>
        </is>
      </c>
      <c r="G12028" s="3" t="inlineStr">
        <is>
          <t>유구리</t>
        </is>
      </c>
      <c r="H12028" s="3" t="inlineStr">
        <is>
          <t>계획관리지역</t>
        </is>
      </c>
      <c r="I12028" s="3" t="inlineStr">
        <is>
          <t>전</t>
        </is>
      </c>
      <c r="J12028" s="3" t="inlineStr">
        <is>
          <t>유구읍</t>
        </is>
      </c>
    </row>
    <row r="12029">
      <c r="A12029" s="3" t="n">
        <v>2025</v>
      </c>
      <c r="B12029" s="4" t="n">
        <v>12929</v>
      </c>
      <c r="C12029" s="4" t="n">
        <v>843</v>
      </c>
      <c r="D12029" s="4" t="n">
        <v>255.0075</v>
      </c>
      <c r="E12029" s="5" t="n">
        <v>50.7</v>
      </c>
      <c r="F12029" s="3" t="inlineStr">
        <is>
          <t>유구읍</t>
        </is>
      </c>
      <c r="G12029" s="3" t="inlineStr">
        <is>
          <t>유구리</t>
        </is>
      </c>
      <c r="H12029" s="3" t="inlineStr">
        <is>
          <t>계획관리지역</t>
        </is>
      </c>
      <c r="I12029" s="3" t="inlineStr">
        <is>
          <t>전</t>
        </is>
      </c>
      <c r="J12029" s="3" t="inlineStr">
        <is>
          <t>유구읍</t>
        </is>
      </c>
    </row>
    <row r="12030">
      <c r="A12030" s="3" t="n">
        <v>2025</v>
      </c>
      <c r="B12030" s="4" t="n">
        <v>12077</v>
      </c>
      <c r="C12030" s="4" t="n">
        <v>787</v>
      </c>
      <c r="D12030" s="4" t="n">
        <v>238.0675</v>
      </c>
      <c r="E12030" s="5" t="n">
        <v>50.7</v>
      </c>
      <c r="F12030" s="3" t="inlineStr">
        <is>
          <t>유구읍</t>
        </is>
      </c>
      <c r="G12030" s="3" t="inlineStr">
        <is>
          <t>유구리</t>
        </is>
      </c>
      <c r="H12030" s="3" t="inlineStr">
        <is>
          <t>계획관리지역</t>
        </is>
      </c>
      <c r="I12030" s="3" t="inlineStr">
        <is>
          <t>답</t>
        </is>
      </c>
      <c r="J12030" s="3" t="inlineStr">
        <is>
          <t>유구읍</t>
        </is>
      </c>
    </row>
    <row r="12031">
      <c r="A12031" s="3" t="n">
        <v>2025</v>
      </c>
      <c r="B12031" s="4" t="n">
        <v>22614</v>
      </c>
      <c r="C12031" s="4" t="n">
        <v>1474</v>
      </c>
      <c r="D12031" s="4" t="n">
        <v>445.885</v>
      </c>
      <c r="E12031" s="5" t="n">
        <v>50.7</v>
      </c>
      <c r="F12031" s="3" t="inlineStr">
        <is>
          <t>유구읍</t>
        </is>
      </c>
      <c r="G12031" s="3" t="inlineStr">
        <is>
          <t>유구리</t>
        </is>
      </c>
      <c r="H12031" s="3" t="inlineStr">
        <is>
          <t>계획관리지역</t>
        </is>
      </c>
      <c r="I12031" s="3" t="inlineStr">
        <is>
          <t>답</t>
        </is>
      </c>
      <c r="J12031" s="3" t="inlineStr">
        <is>
          <t>유구읍</t>
        </is>
      </c>
    </row>
    <row r="12032">
      <c r="A12032" s="3" t="n">
        <v>2025</v>
      </c>
      <c r="B12032" s="4" t="n">
        <v>2900</v>
      </c>
      <c r="C12032" s="4" t="n">
        <v>618</v>
      </c>
      <c r="D12032" s="4" t="n">
        <v>186.945</v>
      </c>
      <c r="E12032" s="5" t="n">
        <v>15.5</v>
      </c>
      <c r="F12032" s="3" t="inlineStr">
        <is>
          <t>유구읍</t>
        </is>
      </c>
      <c r="G12032" s="3" t="inlineStr">
        <is>
          <t>문금리</t>
        </is>
      </c>
      <c r="H12032" s="3" t="inlineStr">
        <is>
          <t>계획관리지역</t>
        </is>
      </c>
      <c r="I12032" s="3" t="inlineStr">
        <is>
          <t>전</t>
        </is>
      </c>
      <c r="J12032" s="3" t="inlineStr">
        <is>
          <t>유구읍</t>
        </is>
      </c>
    </row>
    <row r="12033">
      <c r="A12033" s="3" t="n">
        <v>2025</v>
      </c>
      <c r="B12033" s="4" t="n">
        <v>500</v>
      </c>
      <c r="C12033" s="4" t="n">
        <v>109</v>
      </c>
      <c r="D12033" s="4" t="n">
        <v>32.9725</v>
      </c>
      <c r="E12033" s="5" t="n">
        <v>15.2</v>
      </c>
      <c r="F12033" s="3" t="inlineStr">
        <is>
          <t>유구읍</t>
        </is>
      </c>
      <c r="G12033" s="3" t="inlineStr">
        <is>
          <t>문금리</t>
        </is>
      </c>
      <c r="H12033" s="3" t="inlineStr">
        <is>
          <t>계획관리지역</t>
        </is>
      </c>
      <c r="I12033" s="3" t="inlineStr">
        <is>
          <t>전</t>
        </is>
      </c>
      <c r="J12033" s="3" t="inlineStr">
        <is>
          <t>유구읍</t>
        </is>
      </c>
    </row>
    <row r="12034">
      <c r="A12034" s="3" t="n">
        <v>2024</v>
      </c>
      <c r="B12034" s="4" t="n">
        <v>3700</v>
      </c>
      <c r="C12034" s="4" t="n">
        <v>356</v>
      </c>
      <c r="D12034" s="4" t="n">
        <v>107.69</v>
      </c>
      <c r="E12034" s="5" t="n">
        <v>34.4</v>
      </c>
      <c r="F12034" s="3" t="inlineStr">
        <is>
          <t>유구읍</t>
        </is>
      </c>
      <c r="G12034" s="3" t="inlineStr">
        <is>
          <t>백교리</t>
        </is>
      </c>
      <c r="H12034" s="3" t="inlineStr">
        <is>
          <t>계획관리지역</t>
        </is>
      </c>
      <c r="I12034" s="3" t="inlineStr">
        <is>
          <t>하천</t>
        </is>
      </c>
      <c r="J12034" s="3" t="inlineStr">
        <is>
          <t>유구읍</t>
        </is>
      </c>
    </row>
    <row r="12035">
      <c r="A12035" s="3" t="n">
        <v>2024</v>
      </c>
      <c r="B12035" s="4" t="n">
        <v>700</v>
      </c>
      <c r="C12035" s="4" t="n">
        <v>731</v>
      </c>
      <c r="D12035" s="4" t="n">
        <v>221.1275</v>
      </c>
      <c r="E12035" s="5" t="n">
        <v>3.2</v>
      </c>
      <c r="F12035" s="3" t="inlineStr">
        <is>
          <t>유구읍</t>
        </is>
      </c>
      <c r="G12035" s="3" t="inlineStr">
        <is>
          <t>만천리</t>
        </is>
      </c>
      <c r="H12035" s="3" t="inlineStr">
        <is>
          <t>계획관리지역</t>
        </is>
      </c>
      <c r="I12035" s="3" t="inlineStr">
        <is>
          <t>답</t>
        </is>
      </c>
      <c r="J12035" s="3" t="inlineStr">
        <is>
          <t>유구읍</t>
        </is>
      </c>
    </row>
    <row r="12036">
      <c r="A12036" s="3" t="n">
        <v>2024</v>
      </c>
      <c r="B12036" s="4" t="n">
        <v>16000</v>
      </c>
      <c r="C12036" s="4" t="n">
        <v>1450</v>
      </c>
      <c r="D12036" s="4" t="n">
        <v>438.625</v>
      </c>
      <c r="E12036" s="5" t="n">
        <v>36.5</v>
      </c>
      <c r="F12036" s="3" t="inlineStr">
        <is>
          <t>유구읍</t>
        </is>
      </c>
      <c r="G12036" s="3" t="inlineStr">
        <is>
          <t>신달리</t>
        </is>
      </c>
      <c r="H12036" s="3" t="inlineStr">
        <is>
          <t>농림지역</t>
        </is>
      </c>
      <c r="I12036" s="3" t="inlineStr">
        <is>
          <t>잡종지</t>
        </is>
      </c>
      <c r="J12036" s="3" t="inlineStr">
        <is>
          <t>유구읍</t>
        </is>
      </c>
    </row>
    <row r="12037">
      <c r="A12037" s="3" t="n">
        <v>2024</v>
      </c>
      <c r="B12037" s="4" t="n">
        <v>1000</v>
      </c>
      <c r="C12037" s="4" t="n">
        <v>165</v>
      </c>
      <c r="D12037" s="4" t="n">
        <v>49.9125</v>
      </c>
      <c r="E12037" s="5" t="n">
        <v>20</v>
      </c>
      <c r="F12037" s="3" t="inlineStr">
        <is>
          <t>유구읍</t>
        </is>
      </c>
      <c r="G12037" s="3" t="inlineStr">
        <is>
          <t>만천리</t>
        </is>
      </c>
      <c r="H12037" s="3" t="inlineStr">
        <is>
          <t>계획관리지역</t>
        </is>
      </c>
      <c r="I12037" s="3" t="inlineStr">
        <is>
          <t>전</t>
        </is>
      </c>
      <c r="J12037" s="3" t="inlineStr">
        <is>
          <t>유구읍</t>
        </is>
      </c>
    </row>
    <row r="12038">
      <c r="A12038" s="3" t="n">
        <v>2025</v>
      </c>
      <c r="B12038" s="4" t="n">
        <v>1220</v>
      </c>
      <c r="C12038" s="4" t="n">
        <v>144</v>
      </c>
      <c r="D12038" s="4" t="n">
        <v>43.56</v>
      </c>
      <c r="E12038" s="5" t="n">
        <v>28</v>
      </c>
      <c r="F12038" s="3" t="inlineStr">
        <is>
          <t>유구읍</t>
        </is>
      </c>
      <c r="G12038" s="3" t="inlineStr">
        <is>
          <t>유구리</t>
        </is>
      </c>
      <c r="H12038" s="3" t="inlineStr">
        <is>
          <t>제2종일반주거지역</t>
        </is>
      </c>
      <c r="I12038" s="3" t="inlineStr">
        <is>
          <t>대</t>
        </is>
      </c>
      <c r="J12038" s="3" t="inlineStr">
        <is>
          <t>유구읍</t>
        </is>
      </c>
    </row>
    <row r="12039">
      <c r="A12039" s="3" t="n">
        <v>2025</v>
      </c>
      <c r="B12039" s="4" t="n">
        <v>12000</v>
      </c>
      <c r="C12039" s="4" t="n">
        <v>1422</v>
      </c>
      <c r="D12039" s="4" t="n">
        <v>430.155</v>
      </c>
      <c r="E12039" s="5" t="n">
        <v>27.9</v>
      </c>
      <c r="F12039" s="3" t="inlineStr">
        <is>
          <t>유구읍</t>
        </is>
      </c>
      <c r="G12039" s="3" t="inlineStr">
        <is>
          <t>만천리</t>
        </is>
      </c>
      <c r="H12039" s="3" t="inlineStr">
        <is>
          <t>농림지역</t>
        </is>
      </c>
      <c r="I12039" s="3" t="inlineStr">
        <is>
          <t>전</t>
        </is>
      </c>
      <c r="J12039" s="3" t="inlineStr">
        <is>
          <t>유구읍</t>
        </is>
      </c>
    </row>
    <row r="12040">
      <c r="A12040" s="3" t="n">
        <v>2023</v>
      </c>
      <c r="B12040" s="4" t="n">
        <v>71</v>
      </c>
      <c r="C12040" s="4" t="n">
        <v>17</v>
      </c>
      <c r="D12040" s="4" t="n">
        <v>5.1425</v>
      </c>
      <c r="E12040" s="5" t="n">
        <v>13.8</v>
      </c>
      <c r="F12040" s="3" t="inlineStr">
        <is>
          <t>유구읍</t>
        </is>
      </c>
      <c r="G12040" s="3" t="inlineStr">
        <is>
          <t>노동리</t>
        </is>
      </c>
      <c r="H12040" s="3" t="inlineStr">
        <is>
          <t>계획관리지역</t>
        </is>
      </c>
      <c r="I12040" s="3" t="inlineStr">
        <is>
          <t>답</t>
        </is>
      </c>
      <c r="J12040" s="3" t="inlineStr">
        <is>
          <t>유구읍</t>
        </is>
      </c>
    </row>
    <row r="12041">
      <c r="A12041" s="3" t="n">
        <v>2023</v>
      </c>
      <c r="B12041" s="4" t="n">
        <v>4899</v>
      </c>
      <c r="C12041" s="4" t="n">
        <v>1350</v>
      </c>
      <c r="D12041" s="4" t="n">
        <v>408.375</v>
      </c>
      <c r="E12041" s="5" t="n">
        <v>12</v>
      </c>
      <c r="F12041" s="3" t="inlineStr">
        <is>
          <t>유구읍</t>
        </is>
      </c>
      <c r="G12041" s="3" t="inlineStr">
        <is>
          <t>만천리</t>
        </is>
      </c>
      <c r="H12041" s="3" t="inlineStr">
        <is>
          <t>농림지역</t>
        </is>
      </c>
      <c r="I12041" s="3" t="inlineStr">
        <is>
          <t>답</t>
        </is>
      </c>
      <c r="J12041" s="3" t="inlineStr">
        <is>
          <t>유구읍</t>
        </is>
      </c>
    </row>
    <row r="12042">
      <c r="A12042" s="3" t="n">
        <v>2023</v>
      </c>
      <c r="B12042" s="4" t="n">
        <v>9261</v>
      </c>
      <c r="C12042" s="4" t="n">
        <v>2552</v>
      </c>
      <c r="D12042" s="4" t="n">
        <v>771.98</v>
      </c>
      <c r="E12042" s="5" t="n">
        <v>12</v>
      </c>
      <c r="F12042" s="3" t="inlineStr">
        <is>
          <t>유구읍</t>
        </is>
      </c>
      <c r="G12042" s="3" t="inlineStr">
        <is>
          <t>만천리</t>
        </is>
      </c>
      <c r="H12042" s="3" t="inlineStr">
        <is>
          <t>농림지역</t>
        </is>
      </c>
      <c r="I12042" s="3" t="inlineStr">
        <is>
          <t>답</t>
        </is>
      </c>
      <c r="J12042" s="3" t="inlineStr">
        <is>
          <t>유구읍</t>
        </is>
      </c>
    </row>
    <row r="12043">
      <c r="A12043" s="3" t="n">
        <v>2024</v>
      </c>
      <c r="B12043" s="4" t="n">
        <v>1600</v>
      </c>
      <c r="C12043" s="4" t="n">
        <v>1339</v>
      </c>
      <c r="D12043" s="4" t="n">
        <v>405.0475</v>
      </c>
      <c r="E12043" s="5" t="n">
        <v>4</v>
      </c>
      <c r="F12043" s="3" t="inlineStr">
        <is>
          <t>유구읍</t>
        </is>
      </c>
      <c r="G12043" s="3" t="inlineStr">
        <is>
          <t>덕곡리</t>
        </is>
      </c>
      <c r="H12043" s="3" t="inlineStr">
        <is>
          <t>계획관리지역</t>
        </is>
      </c>
      <c r="I12043" s="3" t="inlineStr">
        <is>
          <t>전</t>
        </is>
      </c>
      <c r="J12043" s="3" t="inlineStr">
        <is>
          <t>유구읍</t>
        </is>
      </c>
    </row>
    <row r="12044">
      <c r="A12044" s="3" t="n">
        <v>2024</v>
      </c>
      <c r="B12044" s="4" t="n">
        <v>1570</v>
      </c>
      <c r="C12044" s="4" t="n">
        <v>360</v>
      </c>
      <c r="D12044" s="4" t="n">
        <v>108.9</v>
      </c>
      <c r="E12044" s="5" t="n">
        <v>14.4</v>
      </c>
      <c r="F12044" s="3" t="inlineStr">
        <is>
          <t>유구읍</t>
        </is>
      </c>
      <c r="G12044" s="3" t="inlineStr">
        <is>
          <t>동해리</t>
        </is>
      </c>
      <c r="H12044" s="3" t="inlineStr">
        <is>
          <t>계획관리지역</t>
        </is>
      </c>
      <c r="I12044" s="3" t="inlineStr">
        <is>
          <t>대</t>
        </is>
      </c>
      <c r="J12044" s="3" t="inlineStr">
        <is>
          <t>유구읍</t>
        </is>
      </c>
    </row>
    <row r="12045">
      <c r="A12045" s="3" t="n">
        <v>2024</v>
      </c>
      <c r="B12045" s="4" t="n">
        <v>3000</v>
      </c>
      <c r="C12045" s="4" t="n">
        <v>126</v>
      </c>
      <c r="D12045" s="4" t="n">
        <v>38.115</v>
      </c>
      <c r="E12045" s="5" t="n">
        <v>78.7</v>
      </c>
      <c r="F12045" s="3" t="inlineStr">
        <is>
          <t>유구읍</t>
        </is>
      </c>
      <c r="G12045" s="3" t="inlineStr">
        <is>
          <t>석남리</t>
        </is>
      </c>
      <c r="H12045" s="3" t="inlineStr">
        <is>
          <t>제2종일반주거지역</t>
        </is>
      </c>
      <c r="I12045" s="3" t="inlineStr">
        <is>
          <t>대</t>
        </is>
      </c>
      <c r="J12045" s="3" t="inlineStr">
        <is>
          <t>유구읍</t>
        </is>
      </c>
    </row>
    <row r="12046">
      <c r="A12046" s="3" t="n">
        <v>2023</v>
      </c>
      <c r="B12046" s="4" t="n">
        <v>3350</v>
      </c>
      <c r="C12046" s="4" t="n">
        <v>288</v>
      </c>
      <c r="D12046" s="4" t="n">
        <v>87.12</v>
      </c>
      <c r="E12046" s="5" t="n">
        <v>38.5</v>
      </c>
      <c r="F12046" s="3" t="inlineStr">
        <is>
          <t>유구읍</t>
        </is>
      </c>
      <c r="G12046" s="3" t="inlineStr">
        <is>
          <t>추계리</t>
        </is>
      </c>
      <c r="H12046" s="3" t="inlineStr">
        <is>
          <t>계획관리지역</t>
        </is>
      </c>
      <c r="I12046" s="3" t="inlineStr">
        <is>
          <t>대</t>
        </is>
      </c>
      <c r="J12046" s="3" t="inlineStr">
        <is>
          <t>유구읍</t>
        </is>
      </c>
    </row>
    <row r="12047">
      <c r="A12047" s="3" t="n">
        <v>2023</v>
      </c>
      <c r="B12047" s="4" t="n">
        <v>150</v>
      </c>
      <c r="C12047" s="4" t="n">
        <v>69</v>
      </c>
      <c r="D12047" s="4" t="n">
        <v>20.8725</v>
      </c>
      <c r="E12047" s="5" t="n">
        <v>7.2</v>
      </c>
      <c r="F12047" s="3" t="inlineStr">
        <is>
          <t>유구읍</t>
        </is>
      </c>
      <c r="G12047" s="3" t="inlineStr">
        <is>
          <t>신달리</t>
        </is>
      </c>
      <c r="H12047" s="3" t="inlineStr">
        <is>
          <t>보전관리지역</t>
        </is>
      </c>
      <c r="I12047" s="3" t="inlineStr">
        <is>
          <t>답</t>
        </is>
      </c>
      <c r="J12047" s="3" t="inlineStr">
        <is>
          <t>유구읍</t>
        </is>
      </c>
    </row>
    <row r="12048">
      <c r="A12048" s="3" t="n">
        <v>2023</v>
      </c>
      <c r="B12048" s="4" t="n">
        <v>11000</v>
      </c>
      <c r="C12048" s="4" t="n">
        <v>833</v>
      </c>
      <c r="D12048" s="4" t="n">
        <v>251.9825</v>
      </c>
      <c r="E12048" s="5" t="n">
        <v>43.7</v>
      </c>
      <c r="F12048" s="3" t="inlineStr">
        <is>
          <t>유구읍</t>
        </is>
      </c>
      <c r="G12048" s="3" t="inlineStr">
        <is>
          <t>덕곡리</t>
        </is>
      </c>
      <c r="H12048" s="3" t="inlineStr">
        <is>
          <t>계획관리지역</t>
        </is>
      </c>
      <c r="I12048" s="3" t="inlineStr">
        <is>
          <t>대</t>
        </is>
      </c>
      <c r="J12048" s="3" t="inlineStr">
        <is>
          <t>유구읍</t>
        </is>
      </c>
    </row>
    <row r="12049">
      <c r="A12049" s="3" t="n">
        <v>2023</v>
      </c>
      <c r="B12049" s="4" t="n">
        <v>2500</v>
      </c>
      <c r="C12049" s="4" t="n">
        <v>155</v>
      </c>
      <c r="D12049" s="4" t="n">
        <v>46.8875</v>
      </c>
      <c r="E12049" s="5" t="n">
        <v>53.3</v>
      </c>
      <c r="F12049" s="3" t="inlineStr">
        <is>
          <t>유구읍</t>
        </is>
      </c>
      <c r="G12049" s="3" t="inlineStr">
        <is>
          <t>구계리</t>
        </is>
      </c>
      <c r="H12049" s="3" t="inlineStr">
        <is>
          <t>계획관리지역</t>
        </is>
      </c>
      <c r="I12049" s="3" t="inlineStr">
        <is>
          <t>전</t>
        </is>
      </c>
      <c r="J12049" s="3" t="inlineStr">
        <is>
          <t>유구읍</t>
        </is>
      </c>
    </row>
    <row r="12050">
      <c r="A12050" s="3" t="n">
        <v>2023</v>
      </c>
      <c r="B12050" s="4" t="n">
        <v>3500</v>
      </c>
      <c r="C12050" s="4" t="n">
        <v>5839</v>
      </c>
      <c r="D12050" s="4" t="n">
        <v>1766.2975</v>
      </c>
      <c r="E12050" s="5" t="n">
        <v>2</v>
      </c>
      <c r="F12050" s="3" t="inlineStr">
        <is>
          <t>유구읍</t>
        </is>
      </c>
      <c r="G12050" s="3" t="inlineStr">
        <is>
          <t>구계리</t>
        </is>
      </c>
      <c r="H12050" s="3" t="inlineStr">
        <is>
          <t>농림지역</t>
        </is>
      </c>
      <c r="I12050" s="3" t="inlineStr">
        <is>
          <t>임야</t>
        </is>
      </c>
      <c r="J12050" s="3" t="inlineStr">
        <is>
          <t>유구읍</t>
        </is>
      </c>
    </row>
    <row r="12051">
      <c r="A12051" s="3" t="n">
        <v>2023</v>
      </c>
      <c r="B12051" s="4" t="n">
        <v>1750</v>
      </c>
      <c r="C12051" s="4" t="n">
        <v>6612</v>
      </c>
      <c r="D12051" s="4" t="n">
        <v>2000.13</v>
      </c>
      <c r="E12051" s="5" t="n">
        <v>0.9</v>
      </c>
      <c r="F12051" s="3" t="inlineStr">
        <is>
          <t>유구읍</t>
        </is>
      </c>
      <c r="G12051" s="3" t="inlineStr">
        <is>
          <t>탑곡리</t>
        </is>
      </c>
      <c r="H12051" s="3" t="inlineStr">
        <is>
          <t>농림지역</t>
        </is>
      </c>
      <c r="I12051" s="3" t="inlineStr">
        <is>
          <t>임야</t>
        </is>
      </c>
      <c r="J12051" s="3" t="inlineStr">
        <is>
          <t>유구읍</t>
        </is>
      </c>
    </row>
    <row r="12052">
      <c r="A12052" s="3" t="n">
        <v>2024</v>
      </c>
      <c r="B12052" s="4" t="n">
        <v>8000</v>
      </c>
      <c r="C12052" s="4" t="n">
        <v>965</v>
      </c>
      <c r="D12052" s="4" t="n">
        <v>291.9125</v>
      </c>
      <c r="E12052" s="5" t="n">
        <v>27.4</v>
      </c>
      <c r="F12052" s="3" t="inlineStr">
        <is>
          <t>유구읍</t>
        </is>
      </c>
      <c r="G12052" s="3" t="inlineStr">
        <is>
          <t>입석리</t>
        </is>
      </c>
      <c r="H12052" s="3" t="inlineStr">
        <is>
          <t>보전관리지역</t>
        </is>
      </c>
      <c r="I12052" s="3" t="inlineStr">
        <is>
          <t>전</t>
        </is>
      </c>
      <c r="J12052" s="3" t="inlineStr">
        <is>
          <t>유구읍</t>
        </is>
      </c>
    </row>
    <row r="12053">
      <c r="A12053" s="3" t="n">
        <v>2023</v>
      </c>
      <c r="B12053" s="4" t="n">
        <v>825</v>
      </c>
      <c r="C12053" s="4" t="n">
        <v>565</v>
      </c>
      <c r="D12053" s="4" t="n">
        <v>170.9125</v>
      </c>
      <c r="E12053" s="5" t="n">
        <v>4.8</v>
      </c>
      <c r="F12053" s="3" t="inlineStr">
        <is>
          <t>유구읍</t>
        </is>
      </c>
      <c r="G12053" s="3" t="inlineStr">
        <is>
          <t>덕곡리</t>
        </is>
      </c>
      <c r="H12053" s="3" t="inlineStr">
        <is>
          <t>계획관리지역</t>
        </is>
      </c>
      <c r="I12053" s="3" t="inlineStr">
        <is>
          <t>답</t>
        </is>
      </c>
      <c r="J12053" s="3" t="inlineStr">
        <is>
          <t>유구읍</t>
        </is>
      </c>
    </row>
    <row r="12054">
      <c r="A12054" s="3" t="n">
        <v>2023</v>
      </c>
      <c r="B12054" s="4" t="n">
        <v>375</v>
      </c>
      <c r="C12054" s="4" t="n">
        <v>258</v>
      </c>
      <c r="D12054" s="4" t="n">
        <v>78.045</v>
      </c>
      <c r="E12054" s="5" t="n">
        <v>4.8</v>
      </c>
      <c r="F12054" s="3" t="inlineStr">
        <is>
          <t>유구읍</t>
        </is>
      </c>
      <c r="G12054" s="3" t="inlineStr">
        <is>
          <t>덕곡리</t>
        </is>
      </c>
      <c r="H12054" s="3" t="inlineStr">
        <is>
          <t>계획관리지역</t>
        </is>
      </c>
      <c r="I12054" s="3" t="inlineStr">
        <is>
          <t>답</t>
        </is>
      </c>
      <c r="J12054" s="3" t="inlineStr">
        <is>
          <t>유구읍</t>
        </is>
      </c>
    </row>
    <row r="12055">
      <c r="A12055" s="3" t="n">
        <v>2023</v>
      </c>
      <c r="B12055" s="4" t="n">
        <v>1950</v>
      </c>
      <c r="C12055" s="4" t="n">
        <v>1299</v>
      </c>
      <c r="D12055" s="4" t="n">
        <v>392.9475</v>
      </c>
      <c r="E12055" s="5" t="n">
        <v>5</v>
      </c>
      <c r="F12055" s="3" t="inlineStr">
        <is>
          <t>유구읍</t>
        </is>
      </c>
      <c r="G12055" s="3" t="inlineStr">
        <is>
          <t>덕곡리</t>
        </is>
      </c>
      <c r="H12055" s="3" t="inlineStr">
        <is>
          <t>계획관리지역</t>
        </is>
      </c>
      <c r="I12055" s="3" t="inlineStr">
        <is>
          <t>전</t>
        </is>
      </c>
      <c r="J12055" s="3" t="inlineStr">
        <is>
          <t>유구읍</t>
        </is>
      </c>
    </row>
    <row r="12056">
      <c r="A12056" s="3" t="n">
        <v>2023</v>
      </c>
      <c r="B12056" s="4" t="n">
        <v>850</v>
      </c>
      <c r="C12056" s="4" t="n">
        <v>565</v>
      </c>
      <c r="D12056" s="4" t="n">
        <v>170.9125</v>
      </c>
      <c r="E12056" s="5" t="n">
        <v>5</v>
      </c>
      <c r="F12056" s="3" t="inlineStr">
        <is>
          <t>유구읍</t>
        </is>
      </c>
      <c r="G12056" s="3" t="inlineStr">
        <is>
          <t>덕곡리</t>
        </is>
      </c>
      <c r="H12056" s="3" t="inlineStr">
        <is>
          <t>계획관리지역</t>
        </is>
      </c>
      <c r="I12056" s="3" t="inlineStr">
        <is>
          <t>전</t>
        </is>
      </c>
      <c r="J12056" s="3" t="inlineStr">
        <is>
          <t>유구읍</t>
        </is>
      </c>
    </row>
    <row r="12057">
      <c r="A12057" s="3" t="n">
        <v>2024</v>
      </c>
      <c r="B12057" s="4" t="n">
        <v>3620</v>
      </c>
      <c r="C12057" s="4" t="n">
        <v>1597</v>
      </c>
      <c r="D12057" s="4" t="n">
        <v>483.0925</v>
      </c>
      <c r="E12057" s="5" t="n">
        <v>7.5</v>
      </c>
      <c r="F12057" s="3" t="inlineStr">
        <is>
          <t>유구읍</t>
        </is>
      </c>
      <c r="G12057" s="3" t="inlineStr">
        <is>
          <t>세동리</t>
        </is>
      </c>
      <c r="H12057" s="3" t="inlineStr">
        <is>
          <t>보전관리지역</t>
        </is>
      </c>
      <c r="I12057" s="3" t="inlineStr">
        <is>
          <t>전</t>
        </is>
      </c>
      <c r="J12057" s="3" t="inlineStr">
        <is>
          <t>유구읍</t>
        </is>
      </c>
    </row>
    <row r="12058">
      <c r="A12058" s="3" t="n">
        <v>2024</v>
      </c>
      <c r="B12058" s="4" t="n">
        <v>5800</v>
      </c>
      <c r="C12058" s="4" t="n">
        <v>1603</v>
      </c>
      <c r="D12058" s="4" t="n">
        <v>484.9075</v>
      </c>
      <c r="E12058" s="5" t="n">
        <v>12</v>
      </c>
      <c r="F12058" s="3" t="inlineStr">
        <is>
          <t>유구읍</t>
        </is>
      </c>
      <c r="G12058" s="3" t="inlineStr">
        <is>
          <t>추계리</t>
        </is>
      </c>
      <c r="H12058" s="3" t="inlineStr">
        <is>
          <t>보전관리지역</t>
        </is>
      </c>
      <c r="I12058" s="3" t="inlineStr">
        <is>
          <t>답</t>
        </is>
      </c>
      <c r="J12058" s="3" t="inlineStr">
        <is>
          <t>유구읍</t>
        </is>
      </c>
    </row>
    <row r="12059">
      <c r="A12059" s="3" t="n">
        <v>2024</v>
      </c>
      <c r="B12059" s="4" t="n">
        <v>3800</v>
      </c>
      <c r="C12059" s="4" t="n">
        <v>1051</v>
      </c>
      <c r="D12059" s="4" t="n">
        <v>317.9275</v>
      </c>
      <c r="E12059" s="5" t="n">
        <v>12</v>
      </c>
      <c r="F12059" s="3" t="inlineStr">
        <is>
          <t>유구읍</t>
        </is>
      </c>
      <c r="G12059" s="3" t="inlineStr">
        <is>
          <t>추계리</t>
        </is>
      </c>
      <c r="H12059" s="3" t="inlineStr">
        <is>
          <t>보전관리지역</t>
        </is>
      </c>
      <c r="I12059" s="3" t="inlineStr">
        <is>
          <t>답</t>
        </is>
      </c>
      <c r="J12059" s="3" t="inlineStr">
        <is>
          <t>유구읍</t>
        </is>
      </c>
    </row>
    <row r="12060">
      <c r="A12060" s="3" t="n">
        <v>2024</v>
      </c>
      <c r="B12060" s="4" t="n">
        <v>3700</v>
      </c>
      <c r="C12060" s="4" t="n">
        <v>707</v>
      </c>
      <c r="D12060" s="4" t="n">
        <v>213.8675</v>
      </c>
      <c r="E12060" s="5" t="n">
        <v>17.3</v>
      </c>
      <c r="F12060" s="3" t="inlineStr">
        <is>
          <t>유구읍</t>
        </is>
      </c>
      <c r="G12060" s="3" t="inlineStr">
        <is>
          <t>문금리</t>
        </is>
      </c>
      <c r="H12060" s="3" t="inlineStr">
        <is>
          <t>계획관리지역</t>
        </is>
      </c>
      <c r="I12060" s="3" t="inlineStr">
        <is>
          <t>대</t>
        </is>
      </c>
      <c r="J12060" s="3" t="inlineStr">
        <is>
          <t>유구읍</t>
        </is>
      </c>
    </row>
    <row r="12061">
      <c r="A12061" s="3" t="n">
        <v>2024</v>
      </c>
      <c r="B12061" s="4" t="n">
        <v>15000</v>
      </c>
      <c r="C12061" s="4" t="n">
        <v>45620</v>
      </c>
      <c r="D12061" s="4" t="n">
        <v>13800.05</v>
      </c>
      <c r="E12061" s="5" t="n">
        <v>1.1</v>
      </c>
      <c r="F12061" s="3" t="inlineStr">
        <is>
          <t>유구읍</t>
        </is>
      </c>
      <c r="G12061" s="3" t="inlineStr">
        <is>
          <t>동해리</t>
        </is>
      </c>
      <c r="H12061" s="3" t="inlineStr">
        <is>
          <t>계획관리지역</t>
        </is>
      </c>
      <c r="I12061" s="3" t="inlineStr">
        <is>
          <t>임야</t>
        </is>
      </c>
      <c r="J12061" s="3" t="inlineStr">
        <is>
          <t>유구읍</t>
        </is>
      </c>
    </row>
    <row r="12062">
      <c r="A12062" s="3" t="n">
        <v>2022</v>
      </c>
      <c r="B12062" s="4" t="n">
        <v>5850</v>
      </c>
      <c r="C12062" s="4" t="n">
        <v>1111</v>
      </c>
      <c r="D12062" s="4" t="n">
        <v>336.0775</v>
      </c>
      <c r="E12062" s="5" t="n">
        <v>17.4</v>
      </c>
      <c r="F12062" s="3" t="inlineStr">
        <is>
          <t>유구읍</t>
        </is>
      </c>
      <c r="G12062" s="3" t="inlineStr">
        <is>
          <t>입석리</t>
        </is>
      </c>
      <c r="H12062" s="3" t="inlineStr">
        <is>
          <t>보전관리지역</t>
        </is>
      </c>
      <c r="I12062" s="3" t="inlineStr">
        <is>
          <t>답</t>
        </is>
      </c>
      <c r="J12062" s="3" t="inlineStr">
        <is>
          <t>유구읍</t>
        </is>
      </c>
    </row>
    <row r="12063">
      <c r="A12063" s="3" t="n">
        <v>2022</v>
      </c>
      <c r="B12063" s="4" t="n">
        <v>8000</v>
      </c>
      <c r="C12063" s="4" t="n">
        <v>952</v>
      </c>
      <c r="D12063" s="4" t="n">
        <v>287.98</v>
      </c>
      <c r="E12063" s="5" t="n">
        <v>27.8</v>
      </c>
      <c r="F12063" s="3" t="inlineStr">
        <is>
          <t>유구읍</t>
        </is>
      </c>
      <c r="G12063" s="3" t="inlineStr">
        <is>
          <t>명곡리</t>
        </is>
      </c>
      <c r="H12063" s="3" t="inlineStr">
        <is>
          <t>계획관리지역</t>
        </is>
      </c>
      <c r="I12063" s="3" t="inlineStr">
        <is>
          <t>전</t>
        </is>
      </c>
      <c r="J12063" s="3" t="inlineStr">
        <is>
          <t>유구읍</t>
        </is>
      </c>
    </row>
    <row r="12064">
      <c r="A12064" s="3" t="n">
        <v>2022</v>
      </c>
      <c r="B12064" s="4" t="n">
        <v>2000</v>
      </c>
      <c r="C12064" s="4" t="n">
        <v>557</v>
      </c>
      <c r="D12064" s="4" t="n">
        <v>168.4925</v>
      </c>
      <c r="E12064" s="5" t="n">
        <v>11.9</v>
      </c>
      <c r="F12064" s="3" t="inlineStr">
        <is>
          <t>유구읍</t>
        </is>
      </c>
      <c r="G12064" s="3" t="inlineStr">
        <is>
          <t>구계리</t>
        </is>
      </c>
      <c r="H12064" s="3" t="inlineStr">
        <is>
          <t>계획관리지역</t>
        </is>
      </c>
      <c r="I12064" s="3" t="inlineStr">
        <is>
          <t>답</t>
        </is>
      </c>
      <c r="J12064" s="3" t="inlineStr">
        <is>
          <t>유구읍</t>
        </is>
      </c>
    </row>
    <row r="12065">
      <c r="A12065" s="3" t="n">
        <v>2022</v>
      </c>
      <c r="B12065" s="4" t="n">
        <v>750</v>
      </c>
      <c r="C12065" s="4" t="n">
        <v>552</v>
      </c>
      <c r="D12065" s="4" t="n">
        <v>166.98</v>
      </c>
      <c r="E12065" s="5" t="n">
        <v>4.5</v>
      </c>
      <c r="F12065" s="3" t="inlineStr">
        <is>
          <t>유구읍</t>
        </is>
      </c>
      <c r="G12065" s="3" t="inlineStr">
        <is>
          <t>동해리</t>
        </is>
      </c>
      <c r="H12065" s="3" t="inlineStr">
        <is>
          <t>계획관리지역</t>
        </is>
      </c>
      <c r="I12065" s="3" t="inlineStr">
        <is>
          <t>전</t>
        </is>
      </c>
      <c r="J12065" s="3" t="inlineStr">
        <is>
          <t>유구읍</t>
        </is>
      </c>
    </row>
    <row r="12066">
      <c r="A12066" s="3" t="n">
        <v>2022</v>
      </c>
      <c r="B12066" s="4" t="n">
        <v>13600</v>
      </c>
      <c r="C12066" s="4" t="n">
        <v>2813</v>
      </c>
      <c r="D12066" s="4" t="n">
        <v>850.9325</v>
      </c>
      <c r="E12066" s="5" t="n">
        <v>16</v>
      </c>
      <c r="F12066" s="3" t="inlineStr">
        <is>
          <t>유구읍</t>
        </is>
      </c>
      <c r="G12066" s="3" t="inlineStr">
        <is>
          <t>문금리</t>
        </is>
      </c>
      <c r="H12066" s="3" t="inlineStr">
        <is>
          <t>계획관리지역</t>
        </is>
      </c>
      <c r="I12066" s="3" t="inlineStr">
        <is>
          <t>전</t>
        </is>
      </c>
      <c r="J12066" s="3" t="inlineStr">
        <is>
          <t>유구읍</t>
        </is>
      </c>
    </row>
    <row r="12067">
      <c r="A12067" s="3" t="n">
        <v>2022</v>
      </c>
      <c r="B12067" s="4" t="n">
        <v>52313</v>
      </c>
      <c r="C12067" s="4" t="n">
        <v>1290.5</v>
      </c>
      <c r="D12067" s="4" t="n">
        <v>390.37625</v>
      </c>
      <c r="E12067" s="5" t="n">
        <v>134</v>
      </c>
      <c r="F12067" s="3" t="inlineStr">
        <is>
          <t>유구읍</t>
        </is>
      </c>
      <c r="G12067" s="3" t="inlineStr">
        <is>
          <t>유구리</t>
        </is>
      </c>
      <c r="H12067" s="3" t="inlineStr">
        <is>
          <t>계획관리지역</t>
        </is>
      </c>
      <c r="I12067" s="3" t="inlineStr">
        <is>
          <t>공원</t>
        </is>
      </c>
      <c r="J12067" s="3" t="inlineStr">
        <is>
          <t>유구읍</t>
        </is>
      </c>
    </row>
    <row r="12068">
      <c r="A12068" s="3" t="n">
        <v>2022</v>
      </c>
      <c r="B12068" s="4" t="n">
        <v>3938</v>
      </c>
      <c r="C12068" s="4" t="n">
        <v>99.90000000000001</v>
      </c>
      <c r="D12068" s="4" t="n">
        <v>30.21975</v>
      </c>
      <c r="E12068" s="5" t="n">
        <v>130.3</v>
      </c>
      <c r="F12068" s="3" t="inlineStr">
        <is>
          <t>유구읍</t>
        </is>
      </c>
      <c r="G12068" s="3" t="inlineStr">
        <is>
          <t>유구리</t>
        </is>
      </c>
      <c r="H12068" s="3" t="inlineStr">
        <is>
          <t>계획관리지역</t>
        </is>
      </c>
      <c r="I12068" s="3" t="inlineStr">
        <is>
          <t>공원</t>
        </is>
      </c>
      <c r="J12068" s="3" t="inlineStr">
        <is>
          <t>유구읍</t>
        </is>
      </c>
    </row>
    <row r="12069">
      <c r="A12069" s="3" t="n">
        <v>2022</v>
      </c>
      <c r="B12069" s="4" t="n">
        <v>5250</v>
      </c>
      <c r="C12069" s="4" t="n">
        <v>129</v>
      </c>
      <c r="D12069" s="4" t="n">
        <v>39.0225</v>
      </c>
      <c r="E12069" s="5" t="n">
        <v>134.5</v>
      </c>
      <c r="F12069" s="3" t="inlineStr">
        <is>
          <t>유구읍</t>
        </is>
      </c>
      <c r="G12069" s="3" t="inlineStr">
        <is>
          <t>유구리</t>
        </is>
      </c>
      <c r="H12069" s="3" t="inlineStr">
        <is>
          <t>계획관리지역</t>
        </is>
      </c>
      <c r="I12069" s="3" t="inlineStr">
        <is>
          <t>도로</t>
        </is>
      </c>
      <c r="J12069" s="3" t="inlineStr">
        <is>
          <t>유구읍</t>
        </is>
      </c>
    </row>
    <row r="12070">
      <c r="A12070" s="3" t="n">
        <v>2022</v>
      </c>
      <c r="B12070" s="4" t="n">
        <v>13500</v>
      </c>
      <c r="C12070" s="4" t="n">
        <v>339.8</v>
      </c>
      <c r="D12070" s="4" t="n">
        <v>102.7895</v>
      </c>
      <c r="E12070" s="5" t="n">
        <v>131.3</v>
      </c>
      <c r="F12070" s="3" t="inlineStr">
        <is>
          <t>유구읍</t>
        </is>
      </c>
      <c r="G12070" s="3" t="inlineStr">
        <is>
          <t>유구리</t>
        </is>
      </c>
      <c r="H12070" s="3" t="inlineStr">
        <is>
          <t>계획관리지역</t>
        </is>
      </c>
      <c r="I12070" s="3" t="inlineStr">
        <is>
          <t>도로</t>
        </is>
      </c>
      <c r="J12070" s="3" t="inlineStr">
        <is>
          <t>유구읍</t>
        </is>
      </c>
    </row>
    <row r="12071">
      <c r="A12071" s="3" t="n">
        <v>2022</v>
      </c>
      <c r="B12071" s="4" t="n">
        <v>10990</v>
      </c>
      <c r="C12071" s="4" t="n">
        <v>1238</v>
      </c>
      <c r="D12071" s="4" t="n">
        <v>374.495</v>
      </c>
      <c r="E12071" s="5" t="n">
        <v>29.3</v>
      </c>
      <c r="F12071" s="3" t="inlineStr">
        <is>
          <t>유구읍</t>
        </is>
      </c>
      <c r="G12071" s="3" t="inlineStr">
        <is>
          <t>구계리</t>
        </is>
      </c>
      <c r="H12071" s="3" t="inlineStr">
        <is>
          <t>계획관리지역</t>
        </is>
      </c>
      <c r="I12071" s="3" t="inlineStr">
        <is>
          <t>전</t>
        </is>
      </c>
      <c r="J12071" s="3" t="inlineStr">
        <is>
          <t>유구읍</t>
        </is>
      </c>
    </row>
    <row r="12072">
      <c r="A12072" s="3" t="n">
        <v>2022</v>
      </c>
      <c r="B12072" s="4" t="n">
        <v>10010</v>
      </c>
      <c r="C12072" s="4" t="n">
        <v>1129</v>
      </c>
      <c r="D12072" s="4" t="n">
        <v>341.5225</v>
      </c>
      <c r="E12072" s="5" t="n">
        <v>29.3</v>
      </c>
      <c r="F12072" s="3" t="inlineStr">
        <is>
          <t>유구읍</t>
        </is>
      </c>
      <c r="G12072" s="3" t="inlineStr">
        <is>
          <t>구계리</t>
        </is>
      </c>
      <c r="H12072" s="3" t="inlineStr">
        <is>
          <t>계획관리지역</t>
        </is>
      </c>
      <c r="I12072" s="3" t="inlineStr">
        <is>
          <t>전</t>
        </is>
      </c>
      <c r="J12072" s="3" t="inlineStr">
        <is>
          <t>유구읍</t>
        </is>
      </c>
    </row>
    <row r="12073">
      <c r="A12073" s="3" t="n">
        <v>2022</v>
      </c>
      <c r="B12073" s="4" t="n">
        <v>5779</v>
      </c>
      <c r="C12073" s="4" t="n">
        <v>660</v>
      </c>
      <c r="D12073" s="4" t="n">
        <v>199.65</v>
      </c>
      <c r="E12073" s="5" t="n">
        <v>28.9</v>
      </c>
      <c r="F12073" s="3" t="inlineStr">
        <is>
          <t>유구읍</t>
        </is>
      </c>
      <c r="G12073" s="3" t="inlineStr">
        <is>
          <t>구계리</t>
        </is>
      </c>
      <c r="H12073" s="3" t="inlineStr">
        <is>
          <t>계획관리지역</t>
        </is>
      </c>
      <c r="I12073" s="3" t="inlineStr">
        <is>
          <t>전</t>
        </is>
      </c>
      <c r="J12073" s="3" t="inlineStr">
        <is>
          <t>유구읍</t>
        </is>
      </c>
    </row>
    <row r="12074">
      <c r="A12074" s="3" t="n">
        <v>2022</v>
      </c>
      <c r="B12074" s="4" t="n">
        <v>17407</v>
      </c>
      <c r="C12074" s="4" t="n">
        <v>1988</v>
      </c>
      <c r="D12074" s="4" t="n">
        <v>601.37</v>
      </c>
      <c r="E12074" s="5" t="n">
        <v>28.9</v>
      </c>
      <c r="F12074" s="3" t="inlineStr">
        <is>
          <t>유구읍</t>
        </is>
      </c>
      <c r="G12074" s="3" t="inlineStr">
        <is>
          <t>구계리</t>
        </is>
      </c>
      <c r="H12074" s="3" t="inlineStr">
        <is>
          <t>계획관리지역</t>
        </is>
      </c>
      <c r="I12074" s="3" t="inlineStr">
        <is>
          <t>전</t>
        </is>
      </c>
      <c r="J12074" s="3" t="inlineStr">
        <is>
          <t>유구읍</t>
        </is>
      </c>
    </row>
    <row r="12075">
      <c r="A12075" s="3" t="n">
        <v>2022</v>
      </c>
      <c r="B12075" s="4" t="n">
        <v>4509</v>
      </c>
      <c r="C12075" s="4" t="n">
        <v>515</v>
      </c>
      <c r="D12075" s="4" t="n">
        <v>155.7875</v>
      </c>
      <c r="E12075" s="5" t="n">
        <v>28.9</v>
      </c>
      <c r="F12075" s="3" t="inlineStr">
        <is>
          <t>유구읍</t>
        </is>
      </c>
      <c r="G12075" s="3" t="inlineStr">
        <is>
          <t>구계리</t>
        </is>
      </c>
      <c r="H12075" s="3" t="inlineStr">
        <is>
          <t>계획관리지역</t>
        </is>
      </c>
      <c r="I12075" s="3" t="inlineStr">
        <is>
          <t>전</t>
        </is>
      </c>
      <c r="J12075" s="3" t="inlineStr">
        <is>
          <t>유구읍</t>
        </is>
      </c>
    </row>
    <row r="12076">
      <c r="A12076" s="3" t="n">
        <v>2022</v>
      </c>
      <c r="B12076" s="4" t="n">
        <v>31304</v>
      </c>
      <c r="C12076" s="4" t="n">
        <v>3575</v>
      </c>
      <c r="D12076" s="4" t="n">
        <v>1081.4375</v>
      </c>
      <c r="E12076" s="5" t="n">
        <v>28.9</v>
      </c>
      <c r="F12076" s="3" t="inlineStr">
        <is>
          <t>유구읍</t>
        </is>
      </c>
      <c r="G12076" s="3" t="inlineStr">
        <is>
          <t>구계리</t>
        </is>
      </c>
      <c r="H12076" s="3" t="inlineStr">
        <is>
          <t>계획관리지역</t>
        </is>
      </c>
      <c r="I12076" s="3" t="inlineStr">
        <is>
          <t>전</t>
        </is>
      </c>
      <c r="J12076" s="3" t="inlineStr">
        <is>
          <t>유구읍</t>
        </is>
      </c>
    </row>
    <row r="12077">
      <c r="A12077" s="3" t="n">
        <v>2022</v>
      </c>
      <c r="B12077" s="4" t="n">
        <v>22000</v>
      </c>
      <c r="C12077" s="4" t="n">
        <v>4205</v>
      </c>
      <c r="D12077" s="4" t="n">
        <v>1272.0125</v>
      </c>
      <c r="E12077" s="5" t="n">
        <v>17.3</v>
      </c>
      <c r="F12077" s="3" t="inlineStr">
        <is>
          <t>유구읍</t>
        </is>
      </c>
      <c r="G12077" s="3" t="inlineStr">
        <is>
          <t>유구리</t>
        </is>
      </c>
      <c r="H12077" s="3" t="inlineStr">
        <is>
          <t>계획관리지역</t>
        </is>
      </c>
      <c r="I12077" s="3" t="inlineStr">
        <is>
          <t>잡종지</t>
        </is>
      </c>
      <c r="J12077" s="3" t="inlineStr">
        <is>
          <t>유구읍</t>
        </is>
      </c>
    </row>
    <row r="12078">
      <c r="A12078" s="3" t="n">
        <v>2022</v>
      </c>
      <c r="B12078" s="4" t="n">
        <v>1000</v>
      </c>
      <c r="C12078" s="4" t="n">
        <v>36</v>
      </c>
      <c r="D12078" s="4" t="n">
        <v>10.89</v>
      </c>
      <c r="E12078" s="5" t="n">
        <v>91.8</v>
      </c>
      <c r="F12078" s="3" t="inlineStr">
        <is>
          <t>유구읍</t>
        </is>
      </c>
      <c r="G12078" s="3" t="inlineStr">
        <is>
          <t>유구리</t>
        </is>
      </c>
      <c r="H12078" s="3" t="inlineStr">
        <is>
          <t>계획관리지역</t>
        </is>
      </c>
      <c r="I12078" s="3" t="inlineStr">
        <is>
          <t>도로</t>
        </is>
      </c>
      <c r="J12078" s="3" t="inlineStr">
        <is>
          <t>유구읍</t>
        </is>
      </c>
    </row>
    <row r="12079">
      <c r="A12079" s="3" t="n">
        <v>2022</v>
      </c>
      <c r="B12079" s="4" t="n">
        <v>11500</v>
      </c>
      <c r="C12079" s="4" t="n">
        <v>2177</v>
      </c>
      <c r="D12079" s="4" t="n">
        <v>658.5425</v>
      </c>
      <c r="E12079" s="5" t="n">
        <v>17.5</v>
      </c>
      <c r="F12079" s="3" t="inlineStr">
        <is>
          <t>유구읍</t>
        </is>
      </c>
      <c r="G12079" s="3" t="inlineStr">
        <is>
          <t>유구리</t>
        </is>
      </c>
      <c r="H12079" s="3" t="inlineStr">
        <is>
          <t>계획관리지역</t>
        </is>
      </c>
      <c r="I12079" s="3" t="inlineStr">
        <is>
          <t>임야</t>
        </is>
      </c>
      <c r="J12079" s="3" t="inlineStr">
        <is>
          <t>유구읍</t>
        </is>
      </c>
    </row>
    <row r="12080">
      <c r="A12080" s="3" t="n">
        <v>2022</v>
      </c>
      <c r="B12080" s="4" t="n">
        <v>14000</v>
      </c>
      <c r="C12080" s="4" t="n">
        <v>2740</v>
      </c>
      <c r="D12080" s="4" t="n">
        <v>828.85</v>
      </c>
      <c r="E12080" s="5" t="n">
        <v>16.9</v>
      </c>
      <c r="F12080" s="3" t="inlineStr">
        <is>
          <t>유구읍</t>
        </is>
      </c>
      <c r="G12080" s="3" t="inlineStr">
        <is>
          <t>유구리</t>
        </is>
      </c>
      <c r="H12080" s="3" t="inlineStr">
        <is>
          <t>농림지역</t>
        </is>
      </c>
      <c r="I12080" s="3" t="inlineStr">
        <is>
          <t>임야</t>
        </is>
      </c>
      <c r="J12080" s="3" t="inlineStr">
        <is>
          <t>유구읍</t>
        </is>
      </c>
    </row>
    <row r="12081">
      <c r="A12081" s="3" t="n">
        <v>2022</v>
      </c>
      <c r="B12081" s="4" t="n">
        <v>1500</v>
      </c>
      <c r="C12081" s="4" t="n">
        <v>363</v>
      </c>
      <c r="D12081" s="4" t="n">
        <v>109.8075</v>
      </c>
      <c r="E12081" s="5" t="n">
        <v>13.7</v>
      </c>
      <c r="F12081" s="3" t="inlineStr">
        <is>
          <t>유구읍</t>
        </is>
      </c>
      <c r="G12081" s="3" t="inlineStr">
        <is>
          <t>유구리</t>
        </is>
      </c>
      <c r="H12081" s="3" t="inlineStr">
        <is>
          <t>계획관리지역</t>
        </is>
      </c>
      <c r="I12081" s="3" t="inlineStr">
        <is>
          <t>임야</t>
        </is>
      </c>
      <c r="J12081" s="3" t="inlineStr">
        <is>
          <t>유구읍</t>
        </is>
      </c>
    </row>
    <row r="12082">
      <c r="A12082" s="3" t="n">
        <v>2022</v>
      </c>
      <c r="B12082" s="4" t="n">
        <v>6510</v>
      </c>
      <c r="C12082" s="4" t="n">
        <v>1471</v>
      </c>
      <c r="D12082" s="4" t="n">
        <v>444.9775</v>
      </c>
      <c r="E12082" s="5" t="n">
        <v>14.6</v>
      </c>
      <c r="F12082" s="3" t="inlineStr">
        <is>
          <t>유구읍</t>
        </is>
      </c>
      <c r="G12082" s="3" t="inlineStr">
        <is>
          <t>신영리</t>
        </is>
      </c>
      <c r="H12082" s="3" t="inlineStr">
        <is>
          <t>보전관리지역</t>
        </is>
      </c>
      <c r="I12082" s="3" t="inlineStr">
        <is>
          <t>답</t>
        </is>
      </c>
      <c r="J12082" s="3" t="inlineStr">
        <is>
          <t>유구읍</t>
        </is>
      </c>
    </row>
    <row r="12083">
      <c r="A12083" s="3" t="n">
        <v>2022</v>
      </c>
      <c r="B12083" s="4" t="n">
        <v>7700</v>
      </c>
      <c r="C12083" s="4" t="n">
        <v>662</v>
      </c>
      <c r="D12083" s="4" t="n">
        <v>200.255</v>
      </c>
      <c r="E12083" s="5" t="n">
        <v>38.5</v>
      </c>
      <c r="F12083" s="3" t="inlineStr">
        <is>
          <t>유구읍</t>
        </is>
      </c>
      <c r="G12083" s="3" t="inlineStr">
        <is>
          <t>백교리</t>
        </is>
      </c>
      <c r="H12083" s="3" t="inlineStr">
        <is>
          <t>자연녹지지역</t>
        </is>
      </c>
      <c r="I12083" s="3" t="inlineStr">
        <is>
          <t>임야</t>
        </is>
      </c>
      <c r="J12083" s="3" t="inlineStr">
        <is>
          <t>유구읍</t>
        </is>
      </c>
    </row>
    <row r="12084">
      <c r="A12084" s="3" t="n">
        <v>2022</v>
      </c>
      <c r="B12084" s="4" t="n">
        <v>3200</v>
      </c>
      <c r="C12084" s="4" t="n">
        <v>333</v>
      </c>
      <c r="D12084" s="4" t="n">
        <v>100.7325</v>
      </c>
      <c r="E12084" s="5" t="n">
        <v>31.8</v>
      </c>
      <c r="F12084" s="3" t="inlineStr">
        <is>
          <t>유구읍</t>
        </is>
      </c>
      <c r="G12084" s="3" t="inlineStr">
        <is>
          <t>구계리</t>
        </is>
      </c>
      <c r="H12084" s="3" t="inlineStr">
        <is>
          <t>계획관리지역</t>
        </is>
      </c>
      <c r="I12084" s="3" t="inlineStr">
        <is>
          <t>답</t>
        </is>
      </c>
      <c r="J12084" s="3" t="inlineStr">
        <is>
          <t>유구읍</t>
        </is>
      </c>
    </row>
    <row r="12085">
      <c r="A12085" s="3" t="n">
        <v>2022</v>
      </c>
      <c r="B12085" s="4" t="n">
        <v>1800</v>
      </c>
      <c r="C12085" s="4" t="n">
        <v>972</v>
      </c>
      <c r="D12085" s="4" t="n">
        <v>294.03</v>
      </c>
      <c r="E12085" s="5" t="n">
        <v>6.1</v>
      </c>
      <c r="F12085" s="3" t="inlineStr">
        <is>
          <t>유구읍</t>
        </is>
      </c>
      <c r="G12085" s="3" t="inlineStr">
        <is>
          <t>문금리</t>
        </is>
      </c>
      <c r="H12085" s="3" t="inlineStr">
        <is>
          <t>계획관리지역</t>
        </is>
      </c>
      <c r="I12085" s="3" t="inlineStr">
        <is>
          <t>전</t>
        </is>
      </c>
      <c r="J12085" s="3" t="inlineStr">
        <is>
          <t>유구읍</t>
        </is>
      </c>
    </row>
    <row r="12086">
      <c r="A12086" s="3" t="n">
        <v>2022</v>
      </c>
      <c r="B12086" s="4" t="n">
        <v>4000</v>
      </c>
      <c r="C12086" s="4" t="n">
        <v>278</v>
      </c>
      <c r="D12086" s="4" t="n">
        <v>84.095</v>
      </c>
      <c r="E12086" s="5" t="n">
        <v>47.6</v>
      </c>
      <c r="F12086" s="3" t="inlineStr">
        <is>
          <t>유구읍</t>
        </is>
      </c>
      <c r="G12086" s="3" t="inlineStr">
        <is>
          <t>유구리</t>
        </is>
      </c>
      <c r="H12086" s="3" t="inlineStr">
        <is>
          <t>자연녹지지역</t>
        </is>
      </c>
      <c r="I12086" s="3" t="inlineStr">
        <is>
          <t>전</t>
        </is>
      </c>
      <c r="J12086" s="3" t="inlineStr">
        <is>
          <t>유구읍</t>
        </is>
      </c>
    </row>
    <row r="12087">
      <c r="A12087" s="3" t="n">
        <v>2022</v>
      </c>
      <c r="B12087" s="4" t="n">
        <v>12000</v>
      </c>
      <c r="C12087" s="4" t="n">
        <v>794</v>
      </c>
      <c r="D12087" s="4" t="n">
        <v>240.185</v>
      </c>
      <c r="E12087" s="5" t="n">
        <v>50</v>
      </c>
      <c r="F12087" s="3" t="inlineStr">
        <is>
          <t>유구읍</t>
        </is>
      </c>
      <c r="G12087" s="3" t="inlineStr">
        <is>
          <t>유구리</t>
        </is>
      </c>
      <c r="H12087" s="3" t="inlineStr">
        <is>
          <t>자연녹지지역</t>
        </is>
      </c>
      <c r="I12087" s="3" t="inlineStr">
        <is>
          <t>전</t>
        </is>
      </c>
      <c r="J12087" s="3" t="inlineStr">
        <is>
          <t>유구읍</t>
        </is>
      </c>
    </row>
    <row r="12088">
      <c r="A12088" s="3" t="n">
        <v>2023</v>
      </c>
      <c r="B12088" s="4" t="n">
        <v>45500</v>
      </c>
      <c r="C12088" s="4" t="n">
        <v>15045</v>
      </c>
      <c r="D12088" s="4" t="n">
        <v>4551.1125</v>
      </c>
      <c r="E12088" s="5" t="n">
        <v>10</v>
      </c>
      <c r="F12088" s="3" t="inlineStr">
        <is>
          <t>유구읍</t>
        </is>
      </c>
      <c r="G12088" s="3" t="inlineStr">
        <is>
          <t>신영리</t>
        </is>
      </c>
      <c r="H12088" s="3" t="inlineStr">
        <is>
          <t>보전관리지역</t>
        </is>
      </c>
      <c r="I12088" s="3" t="inlineStr">
        <is>
          <t>임야</t>
        </is>
      </c>
      <c r="J12088" s="3" t="inlineStr">
        <is>
          <t>유구읍</t>
        </is>
      </c>
    </row>
    <row r="12089">
      <c r="A12089" s="3" t="n">
        <v>2024</v>
      </c>
      <c r="B12089" s="4" t="n">
        <v>7000</v>
      </c>
      <c r="C12089" s="4" t="n">
        <v>2387</v>
      </c>
      <c r="D12089" s="4" t="n">
        <v>722.0675</v>
      </c>
      <c r="E12089" s="5" t="n">
        <v>9.699999999999999</v>
      </c>
      <c r="F12089" s="3" t="inlineStr">
        <is>
          <t>유구읍</t>
        </is>
      </c>
      <c r="G12089" s="3" t="inlineStr">
        <is>
          <t>백교리</t>
        </is>
      </c>
      <c r="H12089" s="3" t="inlineStr">
        <is>
          <t>계획관리지역</t>
        </is>
      </c>
      <c r="I12089" s="3" t="inlineStr">
        <is>
          <t>전</t>
        </is>
      </c>
      <c r="J12089" s="3" t="inlineStr">
        <is>
          <t>유구읍</t>
        </is>
      </c>
    </row>
    <row r="12090">
      <c r="A12090" s="3" t="n">
        <v>2024</v>
      </c>
      <c r="B12090" s="4" t="n">
        <v>6800</v>
      </c>
      <c r="C12090" s="4" t="n">
        <v>1507</v>
      </c>
      <c r="D12090" s="4" t="n">
        <v>455.8675</v>
      </c>
      <c r="E12090" s="5" t="n">
        <v>14.9</v>
      </c>
      <c r="F12090" s="3" t="inlineStr">
        <is>
          <t>유구읍</t>
        </is>
      </c>
      <c r="G12090" s="3" t="inlineStr">
        <is>
          <t>백교리</t>
        </is>
      </c>
      <c r="H12090" s="3" t="inlineStr">
        <is>
          <t>보전관리지역</t>
        </is>
      </c>
      <c r="I12090" s="3" t="inlineStr">
        <is>
          <t>답</t>
        </is>
      </c>
      <c r="J12090" s="3" t="inlineStr">
        <is>
          <t>유구읍</t>
        </is>
      </c>
    </row>
    <row r="12091">
      <c r="A12091" s="3" t="n">
        <v>2024</v>
      </c>
      <c r="B12091" s="4" t="n">
        <v>1390</v>
      </c>
      <c r="C12091" s="4" t="n">
        <v>298</v>
      </c>
      <c r="D12091" s="4" t="n">
        <v>90.145</v>
      </c>
      <c r="E12091" s="5" t="n">
        <v>15.4</v>
      </c>
      <c r="F12091" s="3" t="inlineStr">
        <is>
          <t>유구읍</t>
        </is>
      </c>
      <c r="G12091" s="3" t="inlineStr">
        <is>
          <t>백교리</t>
        </is>
      </c>
      <c r="H12091" s="3" t="inlineStr">
        <is>
          <t>보전관리지역</t>
        </is>
      </c>
      <c r="I12091" s="3" t="inlineStr">
        <is>
          <t>답</t>
        </is>
      </c>
      <c r="J12091" s="3" t="inlineStr">
        <is>
          <t>유구읍</t>
        </is>
      </c>
    </row>
    <row r="12092">
      <c r="A12092" s="3" t="n">
        <v>2024</v>
      </c>
      <c r="B12092" s="4" t="n">
        <v>18456</v>
      </c>
      <c r="C12092" s="4" t="n">
        <v>4614</v>
      </c>
      <c r="D12092" s="4" t="n">
        <v>1395.735</v>
      </c>
      <c r="E12092" s="5" t="n">
        <v>13.2</v>
      </c>
      <c r="F12092" s="3" t="inlineStr">
        <is>
          <t>유구읍</t>
        </is>
      </c>
      <c r="G12092" s="3" t="inlineStr">
        <is>
          <t>신영리</t>
        </is>
      </c>
      <c r="H12092" s="3" t="inlineStr">
        <is>
          <t>농림지역</t>
        </is>
      </c>
      <c r="I12092" s="3" t="inlineStr">
        <is>
          <t>답</t>
        </is>
      </c>
      <c r="J12092" s="3" t="inlineStr">
        <is>
          <t>유구읍</t>
        </is>
      </c>
    </row>
    <row r="12093">
      <c r="A12093" s="3" t="n">
        <v>2024</v>
      </c>
      <c r="B12093" s="4" t="n">
        <v>21284</v>
      </c>
      <c r="C12093" s="4" t="n">
        <v>2070</v>
      </c>
      <c r="D12093" s="4" t="n">
        <v>626.175</v>
      </c>
      <c r="E12093" s="5" t="n">
        <v>34</v>
      </c>
      <c r="F12093" s="3" t="inlineStr">
        <is>
          <t>유구읍</t>
        </is>
      </c>
      <c r="G12093" s="3" t="inlineStr">
        <is>
          <t>세동리</t>
        </is>
      </c>
      <c r="H12093" s="3" t="inlineStr">
        <is>
          <t>보전관리지역</t>
        </is>
      </c>
      <c r="I12093" s="3" t="inlineStr">
        <is>
          <t>답</t>
        </is>
      </c>
      <c r="J12093" s="3" t="inlineStr">
        <is>
          <t>유구읍</t>
        </is>
      </c>
    </row>
    <row r="12094">
      <c r="A12094" s="3" t="n">
        <v>2024</v>
      </c>
      <c r="B12094" s="4" t="n">
        <v>3000</v>
      </c>
      <c r="C12094" s="4" t="n">
        <v>330</v>
      </c>
      <c r="D12094" s="4" t="n">
        <v>99.825</v>
      </c>
      <c r="E12094" s="5" t="n">
        <v>30.1</v>
      </c>
      <c r="F12094" s="3" t="inlineStr">
        <is>
          <t>유구읍</t>
        </is>
      </c>
      <c r="G12094" s="3" t="inlineStr">
        <is>
          <t>명곡리</t>
        </is>
      </c>
      <c r="H12094" s="3" t="inlineStr">
        <is>
          <t>계획관리지역</t>
        </is>
      </c>
      <c r="I12094" s="3" t="inlineStr">
        <is>
          <t>전</t>
        </is>
      </c>
      <c r="J12094" s="3" t="inlineStr">
        <is>
          <t>유구읍</t>
        </is>
      </c>
    </row>
    <row r="12095">
      <c r="A12095" s="3" t="n">
        <v>2022</v>
      </c>
      <c r="B12095" s="4" t="n">
        <v>624</v>
      </c>
      <c r="C12095" s="4" t="n">
        <v>132</v>
      </c>
      <c r="D12095" s="4" t="n">
        <v>39.93</v>
      </c>
      <c r="E12095" s="5" t="n">
        <v>15.6</v>
      </c>
      <c r="F12095" s="3" t="inlineStr">
        <is>
          <t>유구읍</t>
        </is>
      </c>
      <c r="G12095" s="3" t="inlineStr">
        <is>
          <t>동해리</t>
        </is>
      </c>
      <c r="H12095" s="3" t="inlineStr">
        <is>
          <t>계획관리지역</t>
        </is>
      </c>
      <c r="I12095" s="3" t="inlineStr">
        <is>
          <t>도로</t>
        </is>
      </c>
      <c r="J12095" s="3" t="inlineStr">
        <is>
          <t>유구읍</t>
        </is>
      </c>
    </row>
    <row r="12096">
      <c r="A12096" s="3" t="n">
        <v>2022</v>
      </c>
      <c r="B12096" s="4" t="n">
        <v>4504</v>
      </c>
      <c r="C12096" s="4" t="n">
        <v>377</v>
      </c>
      <c r="D12096" s="4" t="n">
        <v>114.0425</v>
      </c>
      <c r="E12096" s="5" t="n">
        <v>39.5</v>
      </c>
      <c r="F12096" s="3" t="inlineStr">
        <is>
          <t>유구읍</t>
        </is>
      </c>
      <c r="G12096" s="3" t="inlineStr">
        <is>
          <t>유구리</t>
        </is>
      </c>
      <c r="H12096" s="3" t="inlineStr">
        <is>
          <t>제2종일반주거지역</t>
        </is>
      </c>
      <c r="I12096" s="3" t="inlineStr">
        <is>
          <t>대</t>
        </is>
      </c>
      <c r="J12096" s="3" t="inlineStr">
        <is>
          <t>유구읍</t>
        </is>
      </c>
    </row>
    <row r="12097">
      <c r="A12097" s="3" t="n">
        <v>2022</v>
      </c>
      <c r="B12097" s="4" t="n">
        <v>3454</v>
      </c>
      <c r="C12097" s="4" t="n">
        <v>314</v>
      </c>
      <c r="D12097" s="4" t="n">
        <v>94.985</v>
      </c>
      <c r="E12097" s="5" t="n">
        <v>36.4</v>
      </c>
      <c r="F12097" s="3" t="inlineStr">
        <is>
          <t>유구읍</t>
        </is>
      </c>
      <c r="G12097" s="3" t="inlineStr">
        <is>
          <t>유구리</t>
        </is>
      </c>
      <c r="H12097" s="3" t="inlineStr">
        <is>
          <t>제2종일반주거지역</t>
        </is>
      </c>
      <c r="I12097" s="3" t="inlineStr">
        <is>
          <t>대</t>
        </is>
      </c>
      <c r="J12097" s="3" t="inlineStr">
        <is>
          <t>유구읍</t>
        </is>
      </c>
    </row>
    <row r="12098">
      <c r="A12098" s="3" t="n">
        <v>2022</v>
      </c>
      <c r="B12098" s="4" t="n">
        <v>2026</v>
      </c>
      <c r="C12098" s="4" t="n">
        <v>235</v>
      </c>
      <c r="D12098" s="4" t="n">
        <v>71.08749999999999</v>
      </c>
      <c r="E12098" s="5" t="n">
        <v>28.5</v>
      </c>
      <c r="F12098" s="3" t="inlineStr">
        <is>
          <t>유구읍</t>
        </is>
      </c>
      <c r="G12098" s="3" t="inlineStr">
        <is>
          <t>유구리</t>
        </is>
      </c>
      <c r="H12098" s="3" t="inlineStr">
        <is>
          <t>제2종일반주거지역</t>
        </is>
      </c>
      <c r="I12098" s="3" t="inlineStr">
        <is>
          <t>전</t>
        </is>
      </c>
      <c r="J12098" s="3" t="inlineStr">
        <is>
          <t>유구읍</t>
        </is>
      </c>
    </row>
    <row r="12099">
      <c r="A12099" s="3" t="n">
        <v>2022</v>
      </c>
      <c r="B12099" s="4" t="n">
        <v>1066</v>
      </c>
      <c r="C12099" s="4" t="n">
        <v>129</v>
      </c>
      <c r="D12099" s="4" t="n">
        <v>39.0225</v>
      </c>
      <c r="E12099" s="5" t="n">
        <v>27.3</v>
      </c>
      <c r="F12099" s="3" t="inlineStr">
        <is>
          <t>유구읍</t>
        </is>
      </c>
      <c r="G12099" s="3" t="inlineStr">
        <is>
          <t>유구리</t>
        </is>
      </c>
      <c r="H12099" s="3" t="inlineStr">
        <is>
          <t>제2종일반주거지역</t>
        </is>
      </c>
      <c r="I12099" s="3" t="inlineStr">
        <is>
          <t>전</t>
        </is>
      </c>
      <c r="J12099" s="3" t="inlineStr">
        <is>
          <t>유구읍</t>
        </is>
      </c>
    </row>
    <row r="12100">
      <c r="A12100" s="3" t="n">
        <v>2022</v>
      </c>
      <c r="B12100" s="4" t="n">
        <v>1450</v>
      </c>
      <c r="C12100" s="4" t="n">
        <v>129</v>
      </c>
      <c r="D12100" s="4" t="n">
        <v>39.0225</v>
      </c>
      <c r="E12100" s="5" t="n">
        <v>37.2</v>
      </c>
      <c r="F12100" s="3" t="inlineStr">
        <is>
          <t>유구읍</t>
        </is>
      </c>
      <c r="G12100" s="3" t="inlineStr">
        <is>
          <t>유구리</t>
        </is>
      </c>
      <c r="H12100" s="3" t="inlineStr">
        <is>
          <t>제2종일반주거지역</t>
        </is>
      </c>
      <c r="I12100" s="3" t="inlineStr">
        <is>
          <t>하천</t>
        </is>
      </c>
      <c r="J12100" s="3" t="inlineStr">
        <is>
          <t>유구읍</t>
        </is>
      </c>
    </row>
    <row r="12101">
      <c r="A12101" s="3" t="n">
        <v>2022</v>
      </c>
      <c r="B12101" s="4" t="n">
        <v>1800</v>
      </c>
      <c r="C12101" s="4" t="n">
        <v>202</v>
      </c>
      <c r="D12101" s="4" t="n">
        <v>61.105</v>
      </c>
      <c r="E12101" s="5" t="n">
        <v>29.5</v>
      </c>
      <c r="F12101" s="3" t="inlineStr">
        <is>
          <t>유구읍</t>
        </is>
      </c>
      <c r="G12101" s="3" t="inlineStr">
        <is>
          <t>구계리</t>
        </is>
      </c>
      <c r="H12101" s="3" t="inlineStr">
        <is>
          <t>계획관리지역</t>
        </is>
      </c>
      <c r="I12101" s="3" t="inlineStr">
        <is>
          <t>대</t>
        </is>
      </c>
      <c r="J12101" s="3" t="inlineStr">
        <is>
          <t>유구읍</t>
        </is>
      </c>
    </row>
    <row r="12102">
      <c r="A12102" s="3" t="n">
        <v>2022</v>
      </c>
      <c r="B12102" s="4" t="n">
        <v>4540</v>
      </c>
      <c r="C12102" s="4" t="n">
        <v>2179</v>
      </c>
      <c r="D12102" s="4" t="n">
        <v>659.1475</v>
      </c>
      <c r="E12102" s="5" t="n">
        <v>6.9</v>
      </c>
      <c r="F12102" s="3" t="inlineStr">
        <is>
          <t>유구읍</t>
        </is>
      </c>
      <c r="G12102" s="3" t="inlineStr">
        <is>
          <t>명곡리</t>
        </is>
      </c>
      <c r="H12102" s="3" t="inlineStr">
        <is>
          <t>농림지역</t>
        </is>
      </c>
      <c r="I12102" s="3" t="inlineStr">
        <is>
          <t>답</t>
        </is>
      </c>
      <c r="J12102" s="3" t="inlineStr">
        <is>
          <t>유구읍</t>
        </is>
      </c>
    </row>
    <row r="12103">
      <c r="A12103" s="3" t="n">
        <v>2023</v>
      </c>
      <c r="B12103" s="4" t="n">
        <v>3000</v>
      </c>
      <c r="C12103" s="4" t="n">
        <v>2227</v>
      </c>
      <c r="D12103" s="4" t="n">
        <v>673.6675</v>
      </c>
      <c r="E12103" s="5" t="n">
        <v>4.5</v>
      </c>
      <c r="F12103" s="3" t="inlineStr">
        <is>
          <t>유구읍</t>
        </is>
      </c>
      <c r="G12103" s="3" t="inlineStr">
        <is>
          <t>문금리</t>
        </is>
      </c>
      <c r="H12103" s="3" t="inlineStr">
        <is>
          <t>농림지역</t>
        </is>
      </c>
      <c r="I12103" s="3" t="inlineStr">
        <is>
          <t>임야</t>
        </is>
      </c>
      <c r="J12103" s="3" t="inlineStr">
        <is>
          <t>유구읍</t>
        </is>
      </c>
    </row>
    <row r="12104">
      <c r="A12104" s="3" t="n">
        <v>2022</v>
      </c>
      <c r="B12104" s="4" t="n">
        <v>4540</v>
      </c>
      <c r="C12104" s="4" t="n">
        <v>2179</v>
      </c>
      <c r="D12104" s="4" t="n">
        <v>659.1475</v>
      </c>
      <c r="E12104" s="5" t="n">
        <v>6.9</v>
      </c>
      <c r="F12104" s="3" t="inlineStr">
        <is>
          <t>유구읍</t>
        </is>
      </c>
      <c r="G12104" s="3" t="inlineStr">
        <is>
          <t>명곡리</t>
        </is>
      </c>
      <c r="H12104" s="3" t="inlineStr">
        <is>
          <t>농림지역</t>
        </is>
      </c>
      <c r="I12104" s="3" t="inlineStr">
        <is>
          <t>답</t>
        </is>
      </c>
      <c r="J12104" s="3" t="inlineStr">
        <is>
          <t>유구읍</t>
        </is>
      </c>
    </row>
    <row r="12105">
      <c r="A12105" s="3" t="n">
        <v>2022</v>
      </c>
      <c r="B12105" s="4" t="n">
        <v>3200</v>
      </c>
      <c r="C12105" s="4" t="n">
        <v>1444</v>
      </c>
      <c r="D12105" s="4" t="n">
        <v>436.81</v>
      </c>
      <c r="E12105" s="5" t="n">
        <v>7.3</v>
      </c>
      <c r="F12105" s="3" t="inlineStr">
        <is>
          <t>유구읍</t>
        </is>
      </c>
      <c r="G12105" s="3" t="inlineStr">
        <is>
          <t>입석리</t>
        </is>
      </c>
      <c r="H12105" s="3" t="inlineStr">
        <is>
          <t>농림지역</t>
        </is>
      </c>
      <c r="I12105" s="3" t="inlineStr">
        <is>
          <t>답</t>
        </is>
      </c>
      <c r="J12105" s="3" t="inlineStr">
        <is>
          <t>유구읍</t>
        </is>
      </c>
    </row>
    <row r="12106">
      <c r="A12106" s="3" t="n">
        <v>2022</v>
      </c>
      <c r="B12106" s="4" t="n">
        <v>1800</v>
      </c>
      <c r="C12106" s="4" t="n">
        <v>810</v>
      </c>
      <c r="D12106" s="4" t="n">
        <v>245.025</v>
      </c>
      <c r="E12106" s="5" t="n">
        <v>7.3</v>
      </c>
      <c r="F12106" s="3" t="inlineStr">
        <is>
          <t>유구읍</t>
        </is>
      </c>
      <c r="G12106" s="3" t="inlineStr">
        <is>
          <t>입석리</t>
        </is>
      </c>
      <c r="H12106" s="3" t="inlineStr">
        <is>
          <t>농림지역</t>
        </is>
      </c>
      <c r="I12106" s="3" t="inlineStr">
        <is>
          <t>답</t>
        </is>
      </c>
      <c r="J12106" s="3" t="inlineStr">
        <is>
          <t>유구읍</t>
        </is>
      </c>
    </row>
    <row r="12107">
      <c r="A12107" s="3" t="n">
        <v>2022</v>
      </c>
      <c r="B12107" s="4" t="n">
        <v>9455</v>
      </c>
      <c r="C12107" s="4" t="n">
        <v>1025</v>
      </c>
      <c r="D12107" s="4" t="n">
        <v>310.0625</v>
      </c>
      <c r="E12107" s="5" t="n">
        <v>30.5</v>
      </c>
      <c r="F12107" s="3" t="inlineStr">
        <is>
          <t>유구읍</t>
        </is>
      </c>
      <c r="G12107" s="3" t="inlineStr">
        <is>
          <t>문금리</t>
        </is>
      </c>
      <c r="H12107" s="3" t="inlineStr">
        <is>
          <t>계획관리지역</t>
        </is>
      </c>
      <c r="I12107" s="3" t="inlineStr">
        <is>
          <t>전</t>
        </is>
      </c>
      <c r="J12107" s="3" t="inlineStr">
        <is>
          <t>유구읍</t>
        </is>
      </c>
    </row>
    <row r="12108">
      <c r="A12108" s="3" t="n">
        <v>2022</v>
      </c>
      <c r="B12108" s="4" t="n">
        <v>2716</v>
      </c>
      <c r="C12108" s="4" t="n">
        <v>248</v>
      </c>
      <c r="D12108" s="4" t="n">
        <v>75.02</v>
      </c>
      <c r="E12108" s="5" t="n">
        <v>36.2</v>
      </c>
      <c r="F12108" s="3" t="inlineStr">
        <is>
          <t>유구읍</t>
        </is>
      </c>
      <c r="G12108" s="3" t="inlineStr">
        <is>
          <t>문금리</t>
        </is>
      </c>
      <c r="H12108" s="3" t="inlineStr">
        <is>
          <t>계획관리지역</t>
        </is>
      </c>
      <c r="I12108" s="3" t="inlineStr">
        <is>
          <t>대</t>
        </is>
      </c>
      <c r="J12108" s="3" t="inlineStr">
        <is>
          <t>유구읍</t>
        </is>
      </c>
    </row>
    <row r="12109">
      <c r="A12109" s="3" t="n">
        <v>2022</v>
      </c>
      <c r="B12109" s="4" t="n">
        <v>5829</v>
      </c>
      <c r="C12109" s="4" t="n">
        <v>526</v>
      </c>
      <c r="D12109" s="4" t="n">
        <v>159.115</v>
      </c>
      <c r="E12109" s="5" t="n">
        <v>36.6</v>
      </c>
      <c r="F12109" s="3" t="inlineStr">
        <is>
          <t>유구읍</t>
        </is>
      </c>
      <c r="G12109" s="3" t="inlineStr">
        <is>
          <t>문금리</t>
        </is>
      </c>
      <c r="H12109" s="3" t="inlineStr">
        <is>
          <t>계획관리지역</t>
        </is>
      </c>
      <c r="I12109" s="3" t="inlineStr">
        <is>
          <t>답</t>
        </is>
      </c>
      <c r="J12109" s="3" t="inlineStr">
        <is>
          <t>유구읍</t>
        </is>
      </c>
    </row>
    <row r="12110">
      <c r="A12110" s="3" t="n">
        <v>2022</v>
      </c>
      <c r="B12110" s="4" t="n">
        <v>2500</v>
      </c>
      <c r="C12110" s="4" t="n">
        <v>660</v>
      </c>
      <c r="D12110" s="4" t="n">
        <v>199.65</v>
      </c>
      <c r="E12110" s="5" t="n">
        <v>12.5</v>
      </c>
      <c r="F12110" s="3" t="inlineStr">
        <is>
          <t>유구읍</t>
        </is>
      </c>
      <c r="G12110" s="3" t="inlineStr">
        <is>
          <t>구계리</t>
        </is>
      </c>
      <c r="H12110" s="3" t="inlineStr">
        <is>
          <t>계획관리지역</t>
        </is>
      </c>
      <c r="I12110" s="3" t="inlineStr">
        <is>
          <t>대</t>
        </is>
      </c>
      <c r="J12110" s="3" t="inlineStr">
        <is>
          <t>유구읍</t>
        </is>
      </c>
    </row>
    <row r="12111">
      <c r="A12111" s="3" t="n">
        <v>2022</v>
      </c>
      <c r="B12111" s="4" t="n">
        <v>2000</v>
      </c>
      <c r="C12111" s="4" t="n">
        <v>557</v>
      </c>
      <c r="D12111" s="4" t="n">
        <v>168.4925</v>
      </c>
      <c r="E12111" s="5" t="n">
        <v>11.9</v>
      </c>
      <c r="F12111" s="3" t="inlineStr">
        <is>
          <t>유구읍</t>
        </is>
      </c>
      <c r="G12111" s="3" t="inlineStr">
        <is>
          <t>구계리</t>
        </is>
      </c>
      <c r="H12111" s="3" t="inlineStr">
        <is>
          <t>계획관리지역</t>
        </is>
      </c>
      <c r="I12111" s="3" t="inlineStr">
        <is>
          <t>답</t>
        </is>
      </c>
      <c r="J12111" s="3" t="inlineStr">
        <is>
          <t>유구읍</t>
        </is>
      </c>
    </row>
    <row r="12112">
      <c r="A12112" s="3" t="n">
        <v>2022</v>
      </c>
      <c r="B12112" s="4" t="n">
        <v>4500</v>
      </c>
      <c r="C12112" s="4" t="n">
        <v>124</v>
      </c>
      <c r="D12112" s="4" t="n">
        <v>37.51</v>
      </c>
      <c r="E12112" s="5" t="n">
        <v>120</v>
      </c>
      <c r="F12112" s="3" t="inlineStr">
        <is>
          <t>유구읍</t>
        </is>
      </c>
      <c r="G12112" s="3" t="inlineStr">
        <is>
          <t>석남리</t>
        </is>
      </c>
      <c r="H12112" s="3" t="inlineStr">
        <is>
          <t>제2종일반주거지역</t>
        </is>
      </c>
      <c r="I12112" s="3" t="inlineStr">
        <is>
          <t>답</t>
        </is>
      </c>
      <c r="J12112" s="3" t="inlineStr">
        <is>
          <t>유구읍</t>
        </is>
      </c>
    </row>
    <row r="12113">
      <c r="A12113" s="3" t="n">
        <v>2022</v>
      </c>
      <c r="B12113" s="4" t="n">
        <v>1100</v>
      </c>
      <c r="C12113" s="4" t="n">
        <v>34</v>
      </c>
      <c r="D12113" s="4" t="n">
        <v>10.285</v>
      </c>
      <c r="E12113" s="5" t="n">
        <v>107</v>
      </c>
      <c r="F12113" s="3" t="inlineStr">
        <is>
          <t>유구읍</t>
        </is>
      </c>
      <c r="G12113" s="3" t="inlineStr">
        <is>
          <t>석남리</t>
        </is>
      </c>
      <c r="H12113" s="3" t="inlineStr">
        <is>
          <t>제2종일반주거지역</t>
        </is>
      </c>
      <c r="I12113" s="3" t="inlineStr">
        <is>
          <t>잡종지</t>
        </is>
      </c>
      <c r="J12113" s="3" t="inlineStr">
        <is>
          <t>유구읍</t>
        </is>
      </c>
    </row>
    <row r="12114">
      <c r="A12114" s="3" t="n">
        <v>2022</v>
      </c>
      <c r="B12114" s="4" t="n">
        <v>5000</v>
      </c>
      <c r="C12114" s="4" t="n">
        <v>1266</v>
      </c>
      <c r="D12114" s="4" t="n">
        <v>382.965</v>
      </c>
      <c r="E12114" s="5" t="n">
        <v>13.1</v>
      </c>
      <c r="F12114" s="3" t="inlineStr">
        <is>
          <t>유구읍</t>
        </is>
      </c>
      <c r="G12114" s="3" t="inlineStr">
        <is>
          <t>동해리</t>
        </is>
      </c>
      <c r="H12114" s="3" t="inlineStr">
        <is>
          <t>계획관리지역</t>
        </is>
      </c>
      <c r="I12114" s="3" t="inlineStr">
        <is>
          <t>전</t>
        </is>
      </c>
      <c r="J12114" s="3" t="inlineStr">
        <is>
          <t>유구읍</t>
        </is>
      </c>
    </row>
    <row r="12115">
      <c r="A12115" s="3" t="n">
        <v>2022</v>
      </c>
      <c r="B12115" s="4" t="n">
        <v>9400</v>
      </c>
      <c r="C12115" s="4" t="n">
        <v>1785</v>
      </c>
      <c r="D12115" s="4" t="n">
        <v>539.9625</v>
      </c>
      <c r="E12115" s="5" t="n">
        <v>17.4</v>
      </c>
      <c r="F12115" s="3" t="inlineStr">
        <is>
          <t>유구읍</t>
        </is>
      </c>
      <c r="G12115" s="3" t="inlineStr">
        <is>
          <t>석남리</t>
        </is>
      </c>
      <c r="H12115" s="3" t="inlineStr">
        <is>
          <t>계획관리지역</t>
        </is>
      </c>
      <c r="I12115" s="3" t="inlineStr">
        <is>
          <t>답</t>
        </is>
      </c>
      <c r="J12115" s="3" t="inlineStr">
        <is>
          <t>유구읍</t>
        </is>
      </c>
    </row>
    <row r="12116">
      <c r="A12116" s="3" t="n">
        <v>2022</v>
      </c>
      <c r="B12116" s="4" t="n">
        <v>14500</v>
      </c>
      <c r="C12116" s="4" t="n">
        <v>661</v>
      </c>
      <c r="D12116" s="4" t="n">
        <v>199.9525</v>
      </c>
      <c r="E12116" s="5" t="n">
        <v>72.5</v>
      </c>
      <c r="F12116" s="3" t="inlineStr">
        <is>
          <t>유구읍</t>
        </is>
      </c>
      <c r="G12116" s="3" t="inlineStr">
        <is>
          <t>백교리</t>
        </is>
      </c>
      <c r="H12116" s="3" t="inlineStr">
        <is>
          <t>자연녹지지역</t>
        </is>
      </c>
      <c r="I12116" s="3" t="inlineStr">
        <is>
          <t>전</t>
        </is>
      </c>
      <c r="J12116" s="3" t="inlineStr">
        <is>
          <t>유구읍</t>
        </is>
      </c>
    </row>
    <row r="12117">
      <c r="A12117" s="3" t="n">
        <v>2022</v>
      </c>
      <c r="B12117" s="4" t="n">
        <v>11970</v>
      </c>
      <c r="C12117" s="4" t="n">
        <v>1319</v>
      </c>
      <c r="D12117" s="4" t="n">
        <v>398.9975</v>
      </c>
      <c r="E12117" s="5" t="n">
        <v>30</v>
      </c>
      <c r="F12117" s="3" t="inlineStr">
        <is>
          <t>유구읍</t>
        </is>
      </c>
      <c r="G12117" s="3" t="inlineStr">
        <is>
          <t>구계리</t>
        </is>
      </c>
      <c r="H12117" s="3" t="inlineStr">
        <is>
          <t>보전관리지역</t>
        </is>
      </c>
      <c r="I12117" s="3" t="inlineStr">
        <is>
          <t>전</t>
        </is>
      </c>
      <c r="J12117" s="3" t="inlineStr">
        <is>
          <t>유구읍</t>
        </is>
      </c>
    </row>
    <row r="12118">
      <c r="A12118" s="3" t="n">
        <v>2022</v>
      </c>
      <c r="B12118" s="4" t="n">
        <v>2950</v>
      </c>
      <c r="C12118" s="4" t="n">
        <v>496</v>
      </c>
      <c r="D12118" s="4" t="n">
        <v>150.04</v>
      </c>
      <c r="E12118" s="5" t="n">
        <v>19.7</v>
      </c>
      <c r="F12118" s="3" t="inlineStr">
        <is>
          <t>유구읍</t>
        </is>
      </c>
      <c r="G12118" s="3" t="inlineStr">
        <is>
          <t>백교리</t>
        </is>
      </c>
      <c r="H12118" s="3" t="inlineStr">
        <is>
          <t>계획관리지역</t>
        </is>
      </c>
      <c r="I12118" s="3" t="inlineStr">
        <is>
          <t>대</t>
        </is>
      </c>
      <c r="J12118" s="3" t="inlineStr">
        <is>
          <t>유구읍</t>
        </is>
      </c>
    </row>
    <row r="12119">
      <c r="A12119" s="3" t="n">
        <v>2022</v>
      </c>
      <c r="B12119" s="4" t="n">
        <v>7228</v>
      </c>
      <c r="C12119" s="4" t="n">
        <v>556</v>
      </c>
      <c r="D12119" s="4" t="n">
        <v>168.19</v>
      </c>
      <c r="E12119" s="5" t="n">
        <v>43</v>
      </c>
      <c r="F12119" s="3" t="inlineStr">
        <is>
          <t>유구읍</t>
        </is>
      </c>
      <c r="G12119" s="3" t="inlineStr">
        <is>
          <t>문금리</t>
        </is>
      </c>
      <c r="H12119" s="3" t="inlineStr">
        <is>
          <t>계획관리지역</t>
        </is>
      </c>
      <c r="I12119" s="3" t="inlineStr">
        <is>
          <t>임야</t>
        </is>
      </c>
      <c r="J12119" s="3" t="inlineStr">
        <is>
          <t>유구읍</t>
        </is>
      </c>
    </row>
    <row r="12120">
      <c r="A12120" s="3" t="n">
        <v>2022</v>
      </c>
      <c r="B12120" s="4" t="n">
        <v>780</v>
      </c>
      <c r="C12120" s="4" t="n">
        <v>60</v>
      </c>
      <c r="D12120" s="4" t="n">
        <v>18.15</v>
      </c>
      <c r="E12120" s="5" t="n">
        <v>43</v>
      </c>
      <c r="F12120" s="3" t="inlineStr">
        <is>
          <t>유구읍</t>
        </is>
      </c>
      <c r="G12120" s="3" t="inlineStr">
        <is>
          <t>문금리</t>
        </is>
      </c>
      <c r="H12120" s="3" t="inlineStr">
        <is>
          <t>계획관리지역</t>
        </is>
      </c>
      <c r="I12120" s="3" t="inlineStr">
        <is>
          <t>임야</t>
        </is>
      </c>
      <c r="J12120" s="3" t="inlineStr">
        <is>
          <t>유구읍</t>
        </is>
      </c>
    </row>
    <row r="12121">
      <c r="A12121" s="3" t="n">
        <v>2022</v>
      </c>
      <c r="B12121" s="4" t="n">
        <v>23000</v>
      </c>
      <c r="C12121" s="4" t="n">
        <v>10083</v>
      </c>
      <c r="D12121" s="4" t="n">
        <v>3050.1075</v>
      </c>
      <c r="E12121" s="5" t="n">
        <v>7.5</v>
      </c>
      <c r="F12121" s="3" t="inlineStr">
        <is>
          <t>유구읍</t>
        </is>
      </c>
      <c r="G12121" s="3" t="inlineStr">
        <is>
          <t>동해리</t>
        </is>
      </c>
      <c r="H12121" s="3" t="inlineStr">
        <is>
          <t>계획관리지역</t>
        </is>
      </c>
      <c r="I12121" s="3" t="inlineStr">
        <is>
          <t>임야</t>
        </is>
      </c>
      <c r="J12121" s="3" t="inlineStr">
        <is>
          <t>유구읍</t>
        </is>
      </c>
    </row>
    <row r="12122">
      <c r="A12122" s="3" t="n">
        <v>2023</v>
      </c>
      <c r="B12122" s="4" t="n">
        <v>8903</v>
      </c>
      <c r="C12122" s="4" t="n">
        <v>1670</v>
      </c>
      <c r="D12122" s="4" t="n">
        <v>505.175</v>
      </c>
      <c r="E12122" s="5" t="n">
        <v>17.6</v>
      </c>
      <c r="F12122" s="3" t="inlineStr">
        <is>
          <t>유구읍</t>
        </is>
      </c>
      <c r="G12122" s="3" t="inlineStr">
        <is>
          <t>문금리</t>
        </is>
      </c>
      <c r="H12122" s="3" t="inlineStr">
        <is>
          <t>계획관리지역</t>
        </is>
      </c>
      <c r="I12122" s="3" t="inlineStr">
        <is>
          <t>전</t>
        </is>
      </c>
      <c r="J12122" s="3" t="inlineStr">
        <is>
          <t>유구읍</t>
        </is>
      </c>
    </row>
    <row r="12123">
      <c r="A12123" s="3" t="n">
        <v>2023</v>
      </c>
      <c r="B12123" s="4" t="n">
        <v>568</v>
      </c>
      <c r="C12123" s="4" t="n">
        <v>95</v>
      </c>
      <c r="D12123" s="4" t="n">
        <v>28.7375</v>
      </c>
      <c r="E12123" s="5" t="n">
        <v>19.8</v>
      </c>
      <c r="F12123" s="3" t="inlineStr">
        <is>
          <t>유구읍</t>
        </is>
      </c>
      <c r="G12123" s="3" t="inlineStr">
        <is>
          <t>문금리</t>
        </is>
      </c>
      <c r="H12123" s="3" t="inlineStr">
        <is>
          <t>계획관리지역</t>
        </is>
      </c>
      <c r="I12123" s="3" t="inlineStr">
        <is>
          <t>전</t>
        </is>
      </c>
      <c r="J12123" s="3" t="inlineStr">
        <is>
          <t>유구읍</t>
        </is>
      </c>
    </row>
    <row r="12124">
      <c r="A12124" s="3" t="n">
        <v>2023</v>
      </c>
      <c r="B12124" s="4" t="n">
        <v>923</v>
      </c>
      <c r="C12124" s="4" t="n">
        <v>158</v>
      </c>
      <c r="D12124" s="4" t="n">
        <v>47.795</v>
      </c>
      <c r="E12124" s="5" t="n">
        <v>19.3</v>
      </c>
      <c r="F12124" s="3" t="inlineStr">
        <is>
          <t>유구읍</t>
        </is>
      </c>
      <c r="G12124" s="3" t="inlineStr">
        <is>
          <t>문금리</t>
        </is>
      </c>
      <c r="H12124" s="3" t="inlineStr">
        <is>
          <t>계획관리지역</t>
        </is>
      </c>
      <c r="I12124" s="3" t="inlineStr">
        <is>
          <t>전</t>
        </is>
      </c>
      <c r="J12124" s="3" t="inlineStr">
        <is>
          <t>유구읍</t>
        </is>
      </c>
    </row>
    <row r="12125">
      <c r="A12125" s="3" t="n">
        <v>2023</v>
      </c>
      <c r="B12125" s="4" t="n">
        <v>5500</v>
      </c>
      <c r="C12125" s="4" t="n">
        <v>893</v>
      </c>
      <c r="D12125" s="4" t="n">
        <v>270.1325</v>
      </c>
      <c r="E12125" s="5" t="n">
        <v>20.4</v>
      </c>
      <c r="F12125" s="3" t="inlineStr">
        <is>
          <t>유구읍</t>
        </is>
      </c>
      <c r="G12125" s="3" t="inlineStr">
        <is>
          <t>입석리</t>
        </is>
      </c>
      <c r="H12125" s="3" t="inlineStr">
        <is>
          <t>계획관리지역</t>
        </is>
      </c>
      <c r="I12125" s="3" t="inlineStr">
        <is>
          <t>대</t>
        </is>
      </c>
      <c r="J12125" s="3" t="inlineStr">
        <is>
          <t>유구읍</t>
        </is>
      </c>
    </row>
    <row r="12126">
      <c r="A12126" s="3" t="n">
        <v>2023</v>
      </c>
      <c r="B12126" s="4" t="n">
        <v>2296</v>
      </c>
      <c r="C12126" s="4" t="n">
        <v>220</v>
      </c>
      <c r="D12126" s="4" t="n">
        <v>66.55</v>
      </c>
      <c r="E12126" s="5" t="n">
        <v>34.5</v>
      </c>
      <c r="F12126" s="3" t="inlineStr">
        <is>
          <t>유구읍</t>
        </is>
      </c>
      <c r="G12126" s="3" t="inlineStr">
        <is>
          <t>녹천리</t>
        </is>
      </c>
      <c r="H12126" s="3" t="inlineStr">
        <is>
          <t>제2종일반주거지역</t>
        </is>
      </c>
      <c r="I12126" s="3" t="inlineStr">
        <is>
          <t>답</t>
        </is>
      </c>
      <c r="J12126" s="3" t="inlineStr">
        <is>
          <t>유구읍</t>
        </is>
      </c>
    </row>
    <row r="12127">
      <c r="A12127" s="3" t="n">
        <v>2023</v>
      </c>
      <c r="B12127" s="4" t="n">
        <v>1824</v>
      </c>
      <c r="C12127" s="4" t="n">
        <v>277</v>
      </c>
      <c r="D12127" s="4" t="n">
        <v>83.7925</v>
      </c>
      <c r="E12127" s="5" t="n">
        <v>21.8</v>
      </c>
      <c r="F12127" s="3" t="inlineStr">
        <is>
          <t>유구읍</t>
        </is>
      </c>
      <c r="G12127" s="3" t="inlineStr">
        <is>
          <t>녹천리</t>
        </is>
      </c>
      <c r="H12127" s="3" t="inlineStr">
        <is>
          <t>제2종일반주거지역</t>
        </is>
      </c>
      <c r="I12127" s="3" t="inlineStr">
        <is>
          <t>답</t>
        </is>
      </c>
      <c r="J12127" s="3" t="inlineStr">
        <is>
          <t>유구읍</t>
        </is>
      </c>
    </row>
    <row r="12128">
      <c r="A12128" s="3" t="n">
        <v>2023</v>
      </c>
      <c r="B12128" s="4" t="n">
        <v>9610</v>
      </c>
      <c r="C12128" s="4" t="n">
        <v>2469</v>
      </c>
      <c r="D12128" s="4" t="n">
        <v>746.8724999999999</v>
      </c>
      <c r="E12128" s="5" t="n">
        <v>12.9</v>
      </c>
      <c r="F12128" s="3" t="inlineStr">
        <is>
          <t>유구읍</t>
        </is>
      </c>
      <c r="G12128" s="3" t="inlineStr">
        <is>
          <t>추계리</t>
        </is>
      </c>
      <c r="H12128" s="3" t="inlineStr">
        <is>
          <t>보전관리지역</t>
        </is>
      </c>
      <c r="I12128" s="3" t="inlineStr">
        <is>
          <t>답</t>
        </is>
      </c>
      <c r="J12128" s="3" t="inlineStr">
        <is>
          <t>유구읍</t>
        </is>
      </c>
    </row>
    <row r="12129">
      <c r="A12129" s="3" t="n">
        <v>2023</v>
      </c>
      <c r="B12129" s="4" t="n">
        <v>990</v>
      </c>
      <c r="C12129" s="4" t="n">
        <v>255</v>
      </c>
      <c r="D12129" s="4" t="n">
        <v>77.1375</v>
      </c>
      <c r="E12129" s="5" t="n">
        <v>12.8</v>
      </c>
      <c r="F12129" s="3" t="inlineStr">
        <is>
          <t>유구읍</t>
        </is>
      </c>
      <c r="G12129" s="3" t="inlineStr">
        <is>
          <t>추계리</t>
        </is>
      </c>
      <c r="H12129" s="3" t="inlineStr">
        <is>
          <t>보전관리지역</t>
        </is>
      </c>
      <c r="I12129" s="3" t="inlineStr">
        <is>
          <t>답</t>
        </is>
      </c>
      <c r="J12129" s="3" t="inlineStr">
        <is>
          <t>유구읍</t>
        </is>
      </c>
    </row>
    <row r="12130">
      <c r="A12130" s="3" t="n">
        <v>2023</v>
      </c>
      <c r="B12130" s="4" t="n">
        <v>11310</v>
      </c>
      <c r="C12130" s="4" t="n">
        <v>2900</v>
      </c>
      <c r="D12130" s="4" t="n">
        <v>877.25</v>
      </c>
      <c r="E12130" s="5" t="n">
        <v>12.9</v>
      </c>
      <c r="F12130" s="3" t="inlineStr">
        <is>
          <t>유구읍</t>
        </is>
      </c>
      <c r="G12130" s="3" t="inlineStr">
        <is>
          <t>신영리</t>
        </is>
      </c>
      <c r="H12130" s="3" t="inlineStr">
        <is>
          <t>농림지역</t>
        </is>
      </c>
      <c r="I12130" s="3" t="inlineStr">
        <is>
          <t>답</t>
        </is>
      </c>
      <c r="J12130" s="3" t="inlineStr">
        <is>
          <t>유구읍</t>
        </is>
      </c>
    </row>
    <row r="12131">
      <c r="A12131" s="3" t="n">
        <v>2023</v>
      </c>
      <c r="B12131" s="4" t="n">
        <v>4000</v>
      </c>
      <c r="C12131" s="4" t="n">
        <v>1289</v>
      </c>
      <c r="D12131" s="4" t="n">
        <v>389.9225</v>
      </c>
      <c r="E12131" s="5" t="n">
        <v>10.3</v>
      </c>
      <c r="F12131" s="3" t="inlineStr">
        <is>
          <t>유구읍</t>
        </is>
      </c>
      <c r="G12131" s="3" t="inlineStr">
        <is>
          <t>노동리</t>
        </is>
      </c>
      <c r="H12131" s="3" t="inlineStr">
        <is>
          <t>계획관리지역</t>
        </is>
      </c>
      <c r="I12131" s="3" t="inlineStr">
        <is>
          <t>전</t>
        </is>
      </c>
      <c r="J12131" s="3" t="inlineStr">
        <is>
          <t>유구읍</t>
        </is>
      </c>
    </row>
    <row r="12132">
      <c r="A12132" s="3" t="n">
        <v>2022</v>
      </c>
      <c r="B12132" s="4" t="n">
        <v>800</v>
      </c>
      <c r="C12132" s="4" t="n">
        <v>8642</v>
      </c>
      <c r="D12132" s="4" t="n">
        <v>2614.205</v>
      </c>
      <c r="E12132" s="5" t="n">
        <v>0.3</v>
      </c>
      <c r="F12132" s="3" t="inlineStr">
        <is>
          <t>유구읍</t>
        </is>
      </c>
      <c r="G12132" s="3" t="inlineStr">
        <is>
          <t>명곡리</t>
        </is>
      </c>
      <c r="H12132" s="3" t="inlineStr">
        <is>
          <t>농림지역</t>
        </is>
      </c>
      <c r="I12132" s="3" t="inlineStr">
        <is>
          <t>임야</t>
        </is>
      </c>
      <c r="J12132" s="3" t="inlineStr">
        <is>
          <t>유구읍</t>
        </is>
      </c>
    </row>
    <row r="12133">
      <c r="A12133" s="3" t="n">
        <v>2022</v>
      </c>
      <c r="B12133" s="4" t="n">
        <v>4000</v>
      </c>
      <c r="C12133" s="4" t="n">
        <v>377</v>
      </c>
      <c r="D12133" s="4" t="n">
        <v>114.0425</v>
      </c>
      <c r="E12133" s="5" t="n">
        <v>35.1</v>
      </c>
      <c r="F12133" s="3" t="inlineStr">
        <is>
          <t>유구읍</t>
        </is>
      </c>
      <c r="G12133" s="3" t="inlineStr">
        <is>
          <t>유구리</t>
        </is>
      </c>
      <c r="H12133" s="3" t="inlineStr">
        <is>
          <t>제2종일반주거지역</t>
        </is>
      </c>
      <c r="I12133" s="3" t="inlineStr">
        <is>
          <t>대</t>
        </is>
      </c>
      <c r="J12133" s="3" t="inlineStr">
        <is>
          <t>유구읍</t>
        </is>
      </c>
    </row>
    <row r="12134">
      <c r="A12134" s="3" t="n">
        <v>2022</v>
      </c>
      <c r="B12134" s="4" t="n">
        <v>3375</v>
      </c>
      <c r="C12134" s="4" t="n">
        <v>314</v>
      </c>
      <c r="D12134" s="4" t="n">
        <v>94.985</v>
      </c>
      <c r="E12134" s="5" t="n">
        <v>35.5</v>
      </c>
      <c r="F12134" s="3" t="inlineStr">
        <is>
          <t>유구읍</t>
        </is>
      </c>
      <c r="G12134" s="3" t="inlineStr">
        <is>
          <t>유구리</t>
        </is>
      </c>
      <c r="H12134" s="3" t="inlineStr">
        <is>
          <t>제2종일반주거지역</t>
        </is>
      </c>
      <c r="I12134" s="3" t="inlineStr">
        <is>
          <t>대</t>
        </is>
      </c>
      <c r="J12134" s="3" t="inlineStr">
        <is>
          <t>유구읍</t>
        </is>
      </c>
    </row>
    <row r="12135">
      <c r="A12135" s="3" t="n">
        <v>2022</v>
      </c>
      <c r="B12135" s="4" t="n">
        <v>2500</v>
      </c>
      <c r="C12135" s="4" t="n">
        <v>235</v>
      </c>
      <c r="D12135" s="4" t="n">
        <v>71.08749999999999</v>
      </c>
      <c r="E12135" s="5" t="n">
        <v>35.2</v>
      </c>
      <c r="F12135" s="3" t="inlineStr">
        <is>
          <t>유구읍</t>
        </is>
      </c>
      <c r="G12135" s="3" t="inlineStr">
        <is>
          <t>유구리</t>
        </is>
      </c>
      <c r="H12135" s="3" t="inlineStr">
        <is>
          <t>제2종일반주거지역</t>
        </is>
      </c>
      <c r="I12135" s="3" t="inlineStr">
        <is>
          <t>전</t>
        </is>
      </c>
      <c r="J12135" s="3" t="inlineStr">
        <is>
          <t>유구읍</t>
        </is>
      </c>
    </row>
    <row r="12136">
      <c r="A12136" s="3" t="n">
        <v>2022</v>
      </c>
      <c r="B12136" s="4" t="n">
        <v>1375</v>
      </c>
      <c r="C12136" s="4" t="n">
        <v>129</v>
      </c>
      <c r="D12136" s="4" t="n">
        <v>39.0225</v>
      </c>
      <c r="E12136" s="5" t="n">
        <v>35.2</v>
      </c>
      <c r="F12136" s="3" t="inlineStr">
        <is>
          <t>유구읍</t>
        </is>
      </c>
      <c r="G12136" s="3" t="inlineStr">
        <is>
          <t>유구리</t>
        </is>
      </c>
      <c r="H12136" s="3" t="inlineStr">
        <is>
          <t>제2종일반주거지역</t>
        </is>
      </c>
      <c r="I12136" s="3" t="inlineStr">
        <is>
          <t>전</t>
        </is>
      </c>
      <c r="J12136" s="3" t="inlineStr">
        <is>
          <t>유구읍</t>
        </is>
      </c>
    </row>
    <row r="12137">
      <c r="A12137" s="3" t="n">
        <v>2022</v>
      </c>
      <c r="B12137" s="4" t="n">
        <v>1250</v>
      </c>
      <c r="C12137" s="4" t="n">
        <v>129</v>
      </c>
      <c r="D12137" s="4" t="n">
        <v>39.0225</v>
      </c>
      <c r="E12137" s="5" t="n">
        <v>32</v>
      </c>
      <c r="F12137" s="3" t="inlineStr">
        <is>
          <t>유구읍</t>
        </is>
      </c>
      <c r="G12137" s="3" t="inlineStr">
        <is>
          <t>유구리</t>
        </is>
      </c>
      <c r="H12137" s="3" t="inlineStr">
        <is>
          <t>제2종일반주거지역</t>
        </is>
      </c>
      <c r="I12137" s="3" t="inlineStr">
        <is>
          <t>하천</t>
        </is>
      </c>
      <c r="J12137" s="3" t="inlineStr">
        <is>
          <t>유구읍</t>
        </is>
      </c>
    </row>
    <row r="12138">
      <c r="A12138" s="3" t="n">
        <v>2022</v>
      </c>
      <c r="B12138" s="4" t="n">
        <v>700</v>
      </c>
      <c r="C12138" s="4" t="n">
        <v>160</v>
      </c>
      <c r="D12138" s="4" t="n">
        <v>48.4</v>
      </c>
      <c r="E12138" s="5" t="n">
        <v>14.5</v>
      </c>
      <c r="F12138" s="3" t="inlineStr">
        <is>
          <t>유구읍</t>
        </is>
      </c>
      <c r="G12138" s="3" t="inlineStr">
        <is>
          <t>만천리</t>
        </is>
      </c>
      <c r="H12138" s="3" t="inlineStr">
        <is>
          <t>계획관리지역</t>
        </is>
      </c>
      <c r="I12138" s="3" t="inlineStr">
        <is>
          <t>대</t>
        </is>
      </c>
      <c r="J12138" s="3" t="inlineStr">
        <is>
          <t>유구읍</t>
        </is>
      </c>
    </row>
    <row r="12139">
      <c r="A12139" s="3" t="n">
        <v>2022</v>
      </c>
      <c r="B12139" s="4" t="n">
        <v>4560</v>
      </c>
      <c r="C12139" s="4" t="n">
        <v>378</v>
      </c>
      <c r="D12139" s="4" t="n">
        <v>114.345</v>
      </c>
      <c r="E12139" s="5" t="n">
        <v>39.9</v>
      </c>
      <c r="F12139" s="3" t="inlineStr">
        <is>
          <t>유구읍</t>
        </is>
      </c>
      <c r="G12139" s="3" t="inlineStr">
        <is>
          <t>만천리</t>
        </is>
      </c>
      <c r="H12139" s="3" t="inlineStr">
        <is>
          <t>계획관리지역</t>
        </is>
      </c>
      <c r="I12139" s="3" t="inlineStr">
        <is>
          <t>전</t>
        </is>
      </c>
      <c r="J12139" s="3" t="inlineStr">
        <is>
          <t>유구읍</t>
        </is>
      </c>
    </row>
    <row r="12140">
      <c r="A12140" s="3" t="n">
        <v>2022</v>
      </c>
      <c r="B12140" s="4" t="n">
        <v>9000</v>
      </c>
      <c r="C12140" s="4" t="n">
        <v>1107</v>
      </c>
      <c r="D12140" s="4" t="n">
        <v>334.8675</v>
      </c>
      <c r="E12140" s="5" t="n">
        <v>26.9</v>
      </c>
      <c r="F12140" s="3" t="inlineStr">
        <is>
          <t>유구읍</t>
        </is>
      </c>
      <c r="G12140" s="3" t="inlineStr">
        <is>
          <t>추계리</t>
        </is>
      </c>
      <c r="H12140" s="3" t="inlineStr">
        <is>
          <t>보전관리지역</t>
        </is>
      </c>
      <c r="I12140" s="3" t="inlineStr">
        <is>
          <t>전</t>
        </is>
      </c>
      <c r="J12140" s="3" t="inlineStr">
        <is>
          <t>유구읍</t>
        </is>
      </c>
    </row>
    <row r="12141">
      <c r="A12141" s="3" t="n">
        <v>2022</v>
      </c>
      <c r="B12141" s="4" t="n">
        <v>3080</v>
      </c>
      <c r="C12141" s="4" t="n">
        <v>128</v>
      </c>
      <c r="D12141" s="4" t="n">
        <v>38.72</v>
      </c>
      <c r="E12141" s="5" t="n">
        <v>79.5</v>
      </c>
      <c r="F12141" s="3" t="inlineStr">
        <is>
          <t>유구읍</t>
        </is>
      </c>
      <c r="G12141" s="3" t="inlineStr">
        <is>
          <t>석남리</t>
        </is>
      </c>
      <c r="H12141" s="3" t="inlineStr">
        <is>
          <t>제2종일반주거지역</t>
        </is>
      </c>
      <c r="I12141" s="3" t="inlineStr">
        <is>
          <t>대</t>
        </is>
      </c>
      <c r="J12141" s="3" t="inlineStr">
        <is>
          <t>유구읍</t>
        </is>
      </c>
    </row>
    <row r="12142">
      <c r="A12142" s="3" t="n">
        <v>2022</v>
      </c>
      <c r="B12142" s="4" t="n">
        <v>180</v>
      </c>
      <c r="C12142" s="4" t="n">
        <v>61</v>
      </c>
      <c r="D12142" s="4" t="n">
        <v>18.4525</v>
      </c>
      <c r="E12142" s="5" t="n">
        <v>9.800000000000001</v>
      </c>
      <c r="F12142" s="3" t="inlineStr">
        <is>
          <t>유구읍</t>
        </is>
      </c>
      <c r="G12142" s="3" t="inlineStr">
        <is>
          <t>신달리</t>
        </is>
      </c>
      <c r="H12142" s="3" t="inlineStr">
        <is>
          <t>보전관리지역</t>
        </is>
      </c>
      <c r="I12142" s="3" t="inlineStr">
        <is>
          <t>답</t>
        </is>
      </c>
      <c r="J12142" s="3" t="inlineStr">
        <is>
          <t>유구읍</t>
        </is>
      </c>
    </row>
    <row r="12143">
      <c r="A12143" s="3" t="n">
        <v>2022</v>
      </c>
      <c r="B12143" s="4" t="n">
        <v>1000</v>
      </c>
      <c r="C12143" s="4" t="n">
        <v>77</v>
      </c>
      <c r="D12143" s="4" t="n">
        <v>23.2925</v>
      </c>
      <c r="E12143" s="5" t="n">
        <v>42.9</v>
      </c>
      <c r="F12143" s="3" t="inlineStr">
        <is>
          <t>유구읍</t>
        </is>
      </c>
      <c r="G12143" s="3" t="inlineStr">
        <is>
          <t>석남리</t>
        </is>
      </c>
      <c r="H12143" s="3" t="inlineStr">
        <is>
          <t>제2종일반주거지역</t>
        </is>
      </c>
      <c r="I12143" s="3" t="inlineStr">
        <is>
          <t>대</t>
        </is>
      </c>
      <c r="J12143" s="3" t="inlineStr">
        <is>
          <t>유구읍</t>
        </is>
      </c>
    </row>
    <row r="12144">
      <c r="A12144" s="3" t="n">
        <v>2022</v>
      </c>
      <c r="B12144" s="4" t="n">
        <v>3000</v>
      </c>
      <c r="C12144" s="4" t="n">
        <v>357</v>
      </c>
      <c r="D12144" s="4" t="n">
        <v>107.9925</v>
      </c>
      <c r="E12144" s="5" t="n">
        <v>27.8</v>
      </c>
      <c r="F12144" s="3" t="inlineStr">
        <is>
          <t>유구읍</t>
        </is>
      </c>
      <c r="G12144" s="3" t="inlineStr">
        <is>
          <t>노동리</t>
        </is>
      </c>
      <c r="H12144" s="3" t="inlineStr">
        <is>
          <t>계획관리지역</t>
        </is>
      </c>
      <c r="I12144" s="3" t="inlineStr">
        <is>
          <t>대</t>
        </is>
      </c>
      <c r="J12144" s="3" t="inlineStr">
        <is>
          <t>유구읍</t>
        </is>
      </c>
    </row>
    <row r="12145">
      <c r="A12145" s="3" t="n">
        <v>2022</v>
      </c>
      <c r="B12145" s="4" t="n">
        <v>230</v>
      </c>
      <c r="C12145" s="4" t="n">
        <v>71</v>
      </c>
      <c r="D12145" s="4" t="n">
        <v>21.4775</v>
      </c>
      <c r="E12145" s="5" t="n">
        <v>10.7</v>
      </c>
      <c r="F12145" s="3" t="inlineStr">
        <is>
          <t>유구읍</t>
        </is>
      </c>
      <c r="G12145" s="3" t="inlineStr">
        <is>
          <t>만천리</t>
        </is>
      </c>
      <c r="H12145" s="3" t="inlineStr">
        <is>
          <t>계획관리지역</t>
        </is>
      </c>
      <c r="I12145" s="3" t="inlineStr">
        <is>
          <t>과수원</t>
        </is>
      </c>
      <c r="J12145" s="3" t="inlineStr">
        <is>
          <t>유구읍</t>
        </is>
      </c>
    </row>
    <row r="12146">
      <c r="A12146" s="3" t="n">
        <v>2022</v>
      </c>
      <c r="B12146" s="4" t="n">
        <v>5200</v>
      </c>
      <c r="C12146" s="4" t="n">
        <v>552</v>
      </c>
      <c r="D12146" s="4" t="n">
        <v>166.98</v>
      </c>
      <c r="E12146" s="5" t="n">
        <v>31.1</v>
      </c>
      <c r="F12146" s="3" t="inlineStr">
        <is>
          <t>유구읍</t>
        </is>
      </c>
      <c r="G12146" s="3" t="inlineStr">
        <is>
          <t>석남리</t>
        </is>
      </c>
      <c r="H12146" s="3" t="inlineStr">
        <is>
          <t>자연녹지지역</t>
        </is>
      </c>
      <c r="I12146" s="3" t="inlineStr">
        <is>
          <t>하천</t>
        </is>
      </c>
      <c r="J12146" s="3" t="inlineStr">
        <is>
          <t>유구읍</t>
        </is>
      </c>
    </row>
    <row r="12147">
      <c r="A12147" s="3" t="n">
        <v>2022</v>
      </c>
      <c r="B12147" s="4" t="n">
        <v>350</v>
      </c>
      <c r="C12147" s="4" t="n">
        <v>34</v>
      </c>
      <c r="D12147" s="4" t="n">
        <v>10.285</v>
      </c>
      <c r="E12147" s="5" t="n">
        <v>34</v>
      </c>
      <c r="F12147" s="3" t="inlineStr">
        <is>
          <t>유구읍</t>
        </is>
      </c>
      <c r="G12147" s="3" t="inlineStr">
        <is>
          <t>신달리</t>
        </is>
      </c>
      <c r="H12147" s="3" t="inlineStr">
        <is>
          <t>계획관리지역</t>
        </is>
      </c>
      <c r="I12147" s="3" t="inlineStr">
        <is>
          <t>대</t>
        </is>
      </c>
      <c r="J12147" s="3" t="inlineStr">
        <is>
          <t>유구읍</t>
        </is>
      </c>
    </row>
    <row r="12148">
      <c r="A12148" s="3" t="n">
        <v>2022</v>
      </c>
      <c r="B12148" s="4" t="n">
        <v>3000</v>
      </c>
      <c r="C12148" s="4" t="n">
        <v>1547</v>
      </c>
      <c r="D12148" s="4" t="n">
        <v>467.9675</v>
      </c>
      <c r="E12148" s="5" t="n">
        <v>6.4</v>
      </c>
      <c r="F12148" s="3" t="inlineStr">
        <is>
          <t>유구읍</t>
        </is>
      </c>
      <c r="G12148" s="3" t="inlineStr">
        <is>
          <t>문금리</t>
        </is>
      </c>
      <c r="H12148" s="3" t="inlineStr">
        <is>
          <t>계획관리지역</t>
        </is>
      </c>
      <c r="I12148" s="3" t="inlineStr">
        <is>
          <t>답</t>
        </is>
      </c>
      <c r="J12148" s="3" t="inlineStr">
        <is>
          <t>유구읍</t>
        </is>
      </c>
    </row>
    <row r="12149">
      <c r="A12149" s="3" t="n">
        <v>2022</v>
      </c>
      <c r="B12149" s="4" t="n">
        <v>150</v>
      </c>
      <c r="C12149" s="4" t="n">
        <v>9</v>
      </c>
      <c r="D12149" s="4" t="n">
        <v>2.7225</v>
      </c>
      <c r="E12149" s="5" t="n">
        <v>55.1</v>
      </c>
      <c r="F12149" s="3" t="inlineStr">
        <is>
          <t>유구읍</t>
        </is>
      </c>
      <c r="G12149" s="3" t="inlineStr">
        <is>
          <t>녹천리</t>
        </is>
      </c>
      <c r="H12149" s="3" t="inlineStr">
        <is>
          <t>준공업지역</t>
        </is>
      </c>
      <c r="I12149" s="3" t="inlineStr">
        <is>
          <t>전</t>
        </is>
      </c>
      <c r="J12149" s="3" t="inlineStr">
        <is>
          <t>유구읍</t>
        </is>
      </c>
    </row>
    <row r="12150">
      <c r="A12150" s="3" t="n">
        <v>2022</v>
      </c>
      <c r="B12150" s="4" t="n">
        <v>8500</v>
      </c>
      <c r="C12150" s="4" t="n">
        <v>52869</v>
      </c>
      <c r="D12150" s="4" t="n">
        <v>15992.8725</v>
      </c>
      <c r="E12150" s="5" t="n">
        <v>0.5</v>
      </c>
      <c r="F12150" s="3" t="inlineStr">
        <is>
          <t>유구읍</t>
        </is>
      </c>
      <c r="G12150" s="3" t="inlineStr">
        <is>
          <t>구계리</t>
        </is>
      </c>
      <c r="H12150" s="3" t="inlineStr">
        <is>
          <t>농림지역</t>
        </is>
      </c>
      <c r="I12150" s="3" t="inlineStr">
        <is>
          <t>임야</t>
        </is>
      </c>
      <c r="J12150" s="3" t="inlineStr">
        <is>
          <t>유구읍</t>
        </is>
      </c>
    </row>
    <row r="12151">
      <c r="A12151" s="3" t="n">
        <v>2022</v>
      </c>
      <c r="B12151" s="4" t="n">
        <v>43900</v>
      </c>
      <c r="C12151" s="4" t="n">
        <v>969</v>
      </c>
      <c r="D12151" s="4" t="n">
        <v>293.1225</v>
      </c>
      <c r="E12151" s="5" t="n">
        <v>149.8</v>
      </c>
      <c r="F12151" s="3" t="inlineStr">
        <is>
          <t>유구읍</t>
        </is>
      </c>
      <c r="G12151" s="3" t="inlineStr">
        <is>
          <t>백교리</t>
        </is>
      </c>
      <c r="H12151" s="3" t="inlineStr">
        <is>
          <t>일반상업지역</t>
        </is>
      </c>
      <c r="I12151" s="3" t="inlineStr">
        <is>
          <t>답</t>
        </is>
      </c>
      <c r="J12151" s="3" t="inlineStr">
        <is>
          <t>유구읍</t>
        </is>
      </c>
    </row>
    <row r="12152">
      <c r="A12152" s="3" t="n">
        <v>2022</v>
      </c>
      <c r="B12152" s="4" t="n">
        <v>12500</v>
      </c>
      <c r="C12152" s="4" t="n">
        <v>970</v>
      </c>
      <c r="D12152" s="4" t="n">
        <v>293.425</v>
      </c>
      <c r="E12152" s="5" t="n">
        <v>42.6</v>
      </c>
      <c r="F12152" s="3" t="inlineStr">
        <is>
          <t>유구읍</t>
        </is>
      </c>
      <c r="G12152" s="3" t="inlineStr">
        <is>
          <t>유구리</t>
        </is>
      </c>
      <c r="H12152" s="3" t="inlineStr">
        <is>
          <t>계획관리지역</t>
        </is>
      </c>
      <c r="I12152" s="3" t="inlineStr">
        <is>
          <t>답</t>
        </is>
      </c>
      <c r="J12152" s="3" t="inlineStr">
        <is>
          <t>유구읍</t>
        </is>
      </c>
    </row>
    <row r="12153">
      <c r="A12153" s="3" t="n">
        <v>2022</v>
      </c>
      <c r="B12153" s="4" t="n">
        <v>8692</v>
      </c>
      <c r="C12153" s="4" t="n">
        <v>2205</v>
      </c>
      <c r="D12153" s="4" t="n">
        <v>667.0124999999999</v>
      </c>
      <c r="E12153" s="5" t="n">
        <v>13</v>
      </c>
      <c r="F12153" s="3" t="inlineStr">
        <is>
          <t>유구읍</t>
        </is>
      </c>
      <c r="G12153" s="3" t="inlineStr">
        <is>
          <t>만천리</t>
        </is>
      </c>
      <c r="H12153" s="3" t="inlineStr">
        <is>
          <t>계획관리지역</t>
        </is>
      </c>
      <c r="I12153" s="3" t="inlineStr">
        <is>
          <t>답</t>
        </is>
      </c>
      <c r="J12153" s="3" t="inlineStr">
        <is>
          <t>유구읍</t>
        </is>
      </c>
    </row>
    <row r="12154">
      <c r="A12154" s="3" t="n">
        <v>2022</v>
      </c>
      <c r="B12154" s="4" t="n">
        <v>3508</v>
      </c>
      <c r="C12154" s="4" t="n">
        <v>891</v>
      </c>
      <c r="D12154" s="4" t="n">
        <v>269.5275</v>
      </c>
      <c r="E12154" s="5" t="n">
        <v>13</v>
      </c>
      <c r="F12154" s="3" t="inlineStr">
        <is>
          <t>유구읍</t>
        </is>
      </c>
      <c r="G12154" s="3" t="inlineStr">
        <is>
          <t>만천리</t>
        </is>
      </c>
      <c r="H12154" s="3" t="inlineStr">
        <is>
          <t>계획관리지역</t>
        </is>
      </c>
      <c r="I12154" s="3" t="inlineStr">
        <is>
          <t>전</t>
        </is>
      </c>
      <c r="J12154" s="3" t="inlineStr">
        <is>
          <t>유구읍</t>
        </is>
      </c>
    </row>
    <row r="12155">
      <c r="A12155" s="3" t="n">
        <v>2022</v>
      </c>
      <c r="B12155" s="4" t="n">
        <v>6350</v>
      </c>
      <c r="C12155" s="4" t="n">
        <v>830</v>
      </c>
      <c r="D12155" s="4" t="n">
        <v>251.075</v>
      </c>
      <c r="E12155" s="5" t="n">
        <v>25.3</v>
      </c>
      <c r="F12155" s="3" t="inlineStr">
        <is>
          <t>유구읍</t>
        </is>
      </c>
      <c r="G12155" s="3" t="inlineStr">
        <is>
          <t>신달리</t>
        </is>
      </c>
      <c r="H12155" s="3" t="inlineStr">
        <is>
          <t>보전관리지역</t>
        </is>
      </c>
      <c r="I12155" s="3" t="inlineStr">
        <is>
          <t>임야</t>
        </is>
      </c>
      <c r="J12155" s="3" t="inlineStr">
        <is>
          <t>유구읍</t>
        </is>
      </c>
    </row>
    <row r="12156">
      <c r="A12156" s="3" t="n">
        <v>2022</v>
      </c>
      <c r="B12156" s="4" t="n">
        <v>650</v>
      </c>
      <c r="C12156" s="4" t="n">
        <v>85</v>
      </c>
      <c r="D12156" s="4" t="n">
        <v>25.7125</v>
      </c>
      <c r="E12156" s="5" t="n">
        <v>25.3</v>
      </c>
      <c r="F12156" s="3" t="inlineStr">
        <is>
          <t>유구읍</t>
        </is>
      </c>
      <c r="G12156" s="3" t="inlineStr">
        <is>
          <t>신달리</t>
        </is>
      </c>
      <c r="H12156" s="3" t="inlineStr">
        <is>
          <t>농림지역</t>
        </is>
      </c>
      <c r="I12156" s="3" t="inlineStr">
        <is>
          <t>임야</t>
        </is>
      </c>
      <c r="J12156" s="3" t="inlineStr">
        <is>
          <t>유구읍</t>
        </is>
      </c>
    </row>
    <row r="12157">
      <c r="A12157" s="3" t="n">
        <v>2022</v>
      </c>
      <c r="B12157" s="4" t="n">
        <v>9000</v>
      </c>
      <c r="C12157" s="4" t="n">
        <v>506</v>
      </c>
      <c r="D12157" s="4" t="n">
        <v>153.065</v>
      </c>
      <c r="E12157" s="5" t="n">
        <v>58.8</v>
      </c>
      <c r="F12157" s="3" t="inlineStr">
        <is>
          <t>연서면</t>
        </is>
      </c>
      <c r="G12157" s="3" t="inlineStr">
        <is>
          <t>용암리</t>
        </is>
      </c>
      <c r="H12157" s="3" t="inlineStr">
        <is>
          <t>생산관리지역</t>
        </is>
      </c>
      <c r="I12157" s="3" t="inlineStr">
        <is>
          <t>전</t>
        </is>
      </c>
      <c r="J12157" s="3" t="inlineStr">
        <is>
          <t>연서면</t>
        </is>
      </c>
    </row>
    <row r="12158">
      <c r="A12158" s="3" t="n">
        <v>2022</v>
      </c>
      <c r="B12158" s="4" t="n">
        <v>1620</v>
      </c>
      <c r="C12158" s="4" t="n">
        <v>83</v>
      </c>
      <c r="D12158" s="4" t="n">
        <v>25.1075</v>
      </c>
      <c r="E12158" s="5" t="n">
        <v>64.5</v>
      </c>
      <c r="F12158" s="3" t="inlineStr">
        <is>
          <t>부강면</t>
        </is>
      </c>
      <c r="G12158" s="3" t="inlineStr">
        <is>
          <t>문곡리</t>
        </is>
      </c>
      <c r="H12158" s="3" t="inlineStr">
        <is>
          <t>계획관리지역</t>
        </is>
      </c>
      <c r="I12158" s="3" t="inlineStr">
        <is>
          <t>답</t>
        </is>
      </c>
      <c r="J12158" s="3" t="inlineStr">
        <is>
          <t>부강면</t>
        </is>
      </c>
    </row>
    <row r="12159">
      <c r="A12159" s="3" t="n">
        <v>2022</v>
      </c>
      <c r="B12159" s="4" t="n">
        <v>380</v>
      </c>
      <c r="C12159" s="4" t="n">
        <v>20</v>
      </c>
      <c r="D12159" s="4" t="n">
        <v>6.05</v>
      </c>
      <c r="E12159" s="5" t="n">
        <v>62.8</v>
      </c>
      <c r="F12159" s="3" t="inlineStr">
        <is>
          <t>부강면</t>
        </is>
      </c>
      <c r="G12159" s="3" t="inlineStr">
        <is>
          <t>문곡리</t>
        </is>
      </c>
      <c r="H12159" s="3" t="inlineStr">
        <is>
          <t>계획관리지역</t>
        </is>
      </c>
      <c r="I12159" s="3" t="inlineStr">
        <is>
          <t>답</t>
        </is>
      </c>
      <c r="J12159" s="3" t="inlineStr">
        <is>
          <t>부강면</t>
        </is>
      </c>
    </row>
    <row r="12160">
      <c r="A12160" s="3" t="n">
        <v>2022</v>
      </c>
      <c r="B12160" s="4" t="n">
        <v>10000</v>
      </c>
      <c r="C12160" s="4" t="n">
        <v>36</v>
      </c>
      <c r="D12160" s="4" t="n">
        <v>10.89</v>
      </c>
      <c r="E12160" s="5" t="n">
        <v>918.3</v>
      </c>
      <c r="F12160" s="3" t="inlineStr">
        <is>
          <t>연서면</t>
        </is>
      </c>
      <c r="G12160" s="3" t="inlineStr">
        <is>
          <t>월하리</t>
        </is>
      </c>
      <c r="H12160" s="3" t="inlineStr">
        <is>
          <t>보전관리지역</t>
        </is>
      </c>
      <c r="I12160" s="3" t="inlineStr">
        <is>
          <t>전</t>
        </is>
      </c>
      <c r="J12160" s="3" t="inlineStr">
        <is>
          <t>연서면</t>
        </is>
      </c>
    </row>
    <row r="12161">
      <c r="A12161" s="3" t="n">
        <v>2022</v>
      </c>
      <c r="B12161" s="4" t="n">
        <v>8320</v>
      </c>
      <c r="C12161" s="4" t="n">
        <v>14</v>
      </c>
      <c r="D12161" s="4" t="n">
        <v>4.234999999999999</v>
      </c>
      <c r="E12161" s="5" t="n">
        <v>1964.6</v>
      </c>
      <c r="F12161" s="3" t="inlineStr">
        <is>
          <t>연서면</t>
        </is>
      </c>
      <c r="G12161" s="3" t="inlineStr">
        <is>
          <t>월하리</t>
        </is>
      </c>
      <c r="H12161" s="3" t="inlineStr">
        <is>
          <t>보전관리지역</t>
        </is>
      </c>
      <c r="I12161" s="3" t="inlineStr">
        <is>
          <t>과수원</t>
        </is>
      </c>
      <c r="J12161" s="3" t="inlineStr">
        <is>
          <t>연서면</t>
        </is>
      </c>
    </row>
    <row r="12162">
      <c r="A12162" s="3" t="n">
        <v>2022</v>
      </c>
      <c r="B12162" s="4" t="n">
        <v>85312</v>
      </c>
      <c r="C12162" s="4" t="n">
        <v>854</v>
      </c>
      <c r="D12162" s="4" t="n">
        <v>258.335</v>
      </c>
      <c r="E12162" s="5" t="n">
        <v>330.2</v>
      </c>
      <c r="F12162" s="3" t="inlineStr">
        <is>
          <t>연서면</t>
        </is>
      </c>
      <c r="G12162" s="3" t="inlineStr">
        <is>
          <t>월하리</t>
        </is>
      </c>
      <c r="H12162" s="3" t="inlineStr">
        <is>
          <t>보전관리지역</t>
        </is>
      </c>
      <c r="I12162" s="3" t="inlineStr">
        <is>
          <t>과수원</t>
        </is>
      </c>
      <c r="J12162" s="3" t="inlineStr">
        <is>
          <t>연서면</t>
        </is>
      </c>
    </row>
    <row r="12163">
      <c r="A12163" s="3" t="n">
        <v>2022</v>
      </c>
      <c r="B12163" s="4" t="n">
        <v>190818</v>
      </c>
      <c r="C12163" s="4" t="n">
        <v>4294</v>
      </c>
      <c r="D12163" s="4" t="n">
        <v>1298.935</v>
      </c>
      <c r="E12163" s="5" t="n">
        <v>146.9</v>
      </c>
      <c r="F12163" s="3" t="inlineStr">
        <is>
          <t>연서면</t>
        </is>
      </c>
      <c r="G12163" s="3" t="inlineStr">
        <is>
          <t>월하리</t>
        </is>
      </c>
      <c r="H12163" s="3" t="inlineStr">
        <is>
          <t>보전녹지지역</t>
        </is>
      </c>
      <c r="I12163" s="3" t="inlineStr">
        <is>
          <t>전</t>
        </is>
      </c>
      <c r="J12163" s="3" t="inlineStr">
        <is>
          <t>연서면</t>
        </is>
      </c>
    </row>
    <row r="12164">
      <c r="A12164" s="3" t="n">
        <v>2022</v>
      </c>
      <c r="B12164" s="4" t="n">
        <v>60000</v>
      </c>
      <c r="C12164" s="4" t="n">
        <v>350</v>
      </c>
      <c r="D12164" s="4" t="n">
        <v>105.875</v>
      </c>
      <c r="E12164" s="5" t="n">
        <v>566.7</v>
      </c>
      <c r="F12164" s="3" t="inlineStr">
        <is>
          <t>연서면</t>
        </is>
      </c>
      <c r="G12164" s="3" t="inlineStr">
        <is>
          <t>월하리</t>
        </is>
      </c>
      <c r="H12164" s="3" t="inlineStr">
        <is>
          <t>보전관리지역</t>
        </is>
      </c>
      <c r="I12164" s="3" t="inlineStr">
        <is>
          <t>과수원</t>
        </is>
      </c>
      <c r="J12164" s="3" t="inlineStr">
        <is>
          <t>연서면</t>
        </is>
      </c>
    </row>
    <row r="12165">
      <c r="A12165" s="3" t="n">
        <v>2022</v>
      </c>
      <c r="B12165" s="4" t="n">
        <v>16000</v>
      </c>
      <c r="C12165" s="4" t="n">
        <v>205</v>
      </c>
      <c r="D12165" s="4" t="n">
        <v>62.0125</v>
      </c>
      <c r="E12165" s="5" t="n">
        <v>258</v>
      </c>
      <c r="F12165" s="3" t="inlineStr">
        <is>
          <t>연서면</t>
        </is>
      </c>
      <c r="G12165" s="3" t="inlineStr">
        <is>
          <t>월하리</t>
        </is>
      </c>
      <c r="H12165" s="3" t="inlineStr">
        <is>
          <t>제2종일반주거지역</t>
        </is>
      </c>
      <c r="I12165" s="3" t="inlineStr">
        <is>
          <t>전</t>
        </is>
      </c>
      <c r="J12165" s="3" t="inlineStr">
        <is>
          <t>연서면</t>
        </is>
      </c>
    </row>
    <row r="12166">
      <c r="A12166" s="3" t="n">
        <v>2022</v>
      </c>
      <c r="B12166" s="4" t="n">
        <v>148895</v>
      </c>
      <c r="C12166" s="4" t="n">
        <v>3003</v>
      </c>
      <c r="D12166" s="4" t="n">
        <v>908.4075</v>
      </c>
      <c r="E12166" s="5" t="n">
        <v>163.9</v>
      </c>
      <c r="F12166" s="3" t="inlineStr">
        <is>
          <t>연서면</t>
        </is>
      </c>
      <c r="G12166" s="3" t="inlineStr">
        <is>
          <t>월하리</t>
        </is>
      </c>
      <c r="H12166" s="3" t="inlineStr">
        <is>
          <t>보전녹지지역</t>
        </is>
      </c>
      <c r="I12166" s="3" t="inlineStr">
        <is>
          <t>전</t>
        </is>
      </c>
      <c r="J12166" s="3" t="inlineStr">
        <is>
          <t>연서면</t>
        </is>
      </c>
    </row>
    <row r="12167">
      <c r="A12167" s="3" t="n">
        <v>2022</v>
      </c>
      <c r="B12167" s="4" t="n">
        <v>310</v>
      </c>
      <c r="C12167" s="4" t="n">
        <v>16</v>
      </c>
      <c r="D12167" s="4" t="n">
        <v>4.84</v>
      </c>
      <c r="E12167" s="5" t="n">
        <v>64</v>
      </c>
      <c r="F12167" s="3" t="inlineStr">
        <is>
          <t>부강면</t>
        </is>
      </c>
      <c r="G12167" s="3" t="inlineStr">
        <is>
          <t>문곡리</t>
        </is>
      </c>
      <c r="H12167" s="3" t="inlineStr">
        <is>
          <t>계획관리지역</t>
        </is>
      </c>
      <c r="I12167" s="3" t="inlineStr">
        <is>
          <t>답</t>
        </is>
      </c>
      <c r="J12167" s="3" t="inlineStr">
        <is>
          <t>부강면</t>
        </is>
      </c>
    </row>
    <row r="12168">
      <c r="A12168" s="3" t="n">
        <v>2022</v>
      </c>
      <c r="B12168" s="4" t="n">
        <v>30800</v>
      </c>
      <c r="C12168" s="4" t="n">
        <v>291</v>
      </c>
      <c r="D12168" s="4" t="n">
        <v>88.0275</v>
      </c>
      <c r="E12168" s="5" t="n">
        <v>349.9</v>
      </c>
      <c r="F12168" s="3" t="inlineStr">
        <is>
          <t>장군면</t>
        </is>
      </c>
      <c r="G12168" s="3" t="inlineStr">
        <is>
          <t>금암리</t>
        </is>
      </c>
      <c r="H12168" s="3" t="inlineStr">
        <is>
          <t>보전관리지역</t>
        </is>
      </c>
      <c r="I12168" s="3" t="inlineStr">
        <is>
          <t>임야</t>
        </is>
      </c>
      <c r="J12168" s="3" t="inlineStr">
        <is>
          <t>장군면</t>
        </is>
      </c>
    </row>
    <row r="12169">
      <c r="A12169" s="3" t="n">
        <v>2022</v>
      </c>
      <c r="B12169" s="4" t="n">
        <v>49000</v>
      </c>
      <c r="C12169" s="4" t="n">
        <v>2699.3</v>
      </c>
      <c r="D12169" s="4" t="n">
        <v>816.5382500000001</v>
      </c>
      <c r="E12169" s="5" t="n">
        <v>60</v>
      </c>
      <c r="F12169" s="3" t="inlineStr">
        <is>
          <t>부강면</t>
        </is>
      </c>
      <c r="G12169" s="3" t="inlineStr">
        <is>
          <t>산수리</t>
        </is>
      </c>
      <c r="H12169" s="3" t="inlineStr">
        <is>
          <t>농림지역</t>
        </is>
      </c>
      <c r="I12169" s="3" t="inlineStr">
        <is>
          <t>답</t>
        </is>
      </c>
      <c r="J12169" s="3" t="inlineStr">
        <is>
          <t>부강면</t>
        </is>
      </c>
    </row>
    <row r="12170">
      <c r="A12170" s="3" t="n">
        <v>2022</v>
      </c>
      <c r="B12170" s="4" t="n">
        <v>22280</v>
      </c>
      <c r="C12170" s="4" t="n">
        <v>1227.5</v>
      </c>
      <c r="D12170" s="4" t="n">
        <v>371.31875</v>
      </c>
      <c r="E12170" s="5" t="n">
        <v>60</v>
      </c>
      <c r="F12170" s="3" t="inlineStr">
        <is>
          <t>부강면</t>
        </is>
      </c>
      <c r="G12170" s="3" t="inlineStr">
        <is>
          <t>산수리</t>
        </is>
      </c>
      <c r="H12170" s="3" t="inlineStr">
        <is>
          <t>농림지역</t>
        </is>
      </c>
      <c r="I12170" s="3" t="inlineStr">
        <is>
          <t>답</t>
        </is>
      </c>
      <c r="J12170" s="3" t="inlineStr">
        <is>
          <t>부강면</t>
        </is>
      </c>
    </row>
    <row r="12171">
      <c r="A12171" s="3" t="n">
        <v>2022</v>
      </c>
      <c r="B12171" s="4" t="n">
        <v>1200</v>
      </c>
      <c r="C12171" s="4" t="n">
        <v>132</v>
      </c>
      <c r="D12171" s="4" t="n">
        <v>39.93</v>
      </c>
      <c r="E12171" s="5" t="n">
        <v>30.1</v>
      </c>
      <c r="F12171" s="3" t="inlineStr">
        <is>
          <t>금남면</t>
        </is>
      </c>
      <c r="G12171" s="3" t="inlineStr">
        <is>
          <t>성강리</t>
        </is>
      </c>
      <c r="H12171" s="3" t="inlineStr">
        <is>
          <t>농림지역</t>
        </is>
      </c>
      <c r="I12171" s="3" t="inlineStr">
        <is>
          <t>답</t>
        </is>
      </c>
      <c r="J12171" s="3" t="inlineStr">
        <is>
          <t>금남면</t>
        </is>
      </c>
    </row>
    <row r="12172">
      <c r="A12172" s="3" t="n">
        <v>2022</v>
      </c>
      <c r="B12172" s="4" t="n">
        <v>300</v>
      </c>
      <c r="C12172" s="4" t="n">
        <v>21</v>
      </c>
      <c r="D12172" s="4" t="n">
        <v>6.3525</v>
      </c>
      <c r="E12172" s="5" t="n">
        <v>47.2</v>
      </c>
      <c r="F12172" s="3" t="inlineStr">
        <is>
          <t>금남면</t>
        </is>
      </c>
      <c r="G12172" s="3" t="inlineStr">
        <is>
          <t>성강리</t>
        </is>
      </c>
      <c r="H12172" s="3" t="inlineStr">
        <is>
          <t>농림지역</t>
        </is>
      </c>
      <c r="I12172" s="3" t="inlineStr">
        <is>
          <t>구거</t>
        </is>
      </c>
      <c r="J12172" s="3" t="inlineStr">
        <is>
          <t>금남면</t>
        </is>
      </c>
    </row>
    <row r="12173">
      <c r="A12173" s="3" t="n">
        <v>2022</v>
      </c>
      <c r="B12173" s="4" t="n">
        <v>247</v>
      </c>
      <c r="C12173" s="4" t="n">
        <v>20</v>
      </c>
      <c r="D12173" s="4" t="n">
        <v>6.05</v>
      </c>
      <c r="E12173" s="5" t="n">
        <v>40.8</v>
      </c>
      <c r="F12173" s="3" t="inlineStr">
        <is>
          <t>금남면</t>
        </is>
      </c>
      <c r="G12173" s="3" t="inlineStr">
        <is>
          <t>성강리</t>
        </is>
      </c>
      <c r="H12173" s="3" t="inlineStr">
        <is>
          <t>농림지역</t>
        </is>
      </c>
      <c r="I12173" s="3" t="inlineStr">
        <is>
          <t>구거</t>
        </is>
      </c>
      <c r="J12173" s="3" t="inlineStr">
        <is>
          <t>금남면</t>
        </is>
      </c>
    </row>
    <row r="12174">
      <c r="A12174" s="3" t="n">
        <v>2022</v>
      </c>
      <c r="B12174" s="4" t="n">
        <v>1176</v>
      </c>
      <c r="C12174" s="4" t="n">
        <v>95</v>
      </c>
      <c r="D12174" s="4" t="n">
        <v>28.7375</v>
      </c>
      <c r="E12174" s="5" t="n">
        <v>40.9</v>
      </c>
      <c r="F12174" s="3" t="inlineStr">
        <is>
          <t>금남면</t>
        </is>
      </c>
      <c r="G12174" s="3" t="inlineStr">
        <is>
          <t>성강리</t>
        </is>
      </c>
      <c r="H12174" s="3" t="inlineStr">
        <is>
          <t>농림지역</t>
        </is>
      </c>
      <c r="I12174" s="3" t="inlineStr">
        <is>
          <t>구거</t>
        </is>
      </c>
      <c r="J12174" s="3" t="inlineStr">
        <is>
          <t>금남면</t>
        </is>
      </c>
    </row>
    <row r="12175">
      <c r="A12175" s="3" t="n">
        <v>2022</v>
      </c>
      <c r="B12175" s="4" t="n">
        <v>16960</v>
      </c>
      <c r="C12175" s="4" t="n">
        <v>910</v>
      </c>
      <c r="D12175" s="4" t="n">
        <v>275.275</v>
      </c>
      <c r="E12175" s="5" t="n">
        <v>61.6</v>
      </c>
      <c r="F12175" s="3" t="inlineStr">
        <is>
          <t>금남면</t>
        </is>
      </c>
      <c r="G12175" s="3" t="inlineStr">
        <is>
          <t>봉암리</t>
        </is>
      </c>
      <c r="H12175" s="3" t="inlineStr">
        <is>
          <t>개발제한구역</t>
        </is>
      </c>
      <c r="I12175" s="3" t="inlineStr">
        <is>
          <t>답</t>
        </is>
      </c>
      <c r="J12175" s="3" t="inlineStr">
        <is>
          <t>금남면</t>
        </is>
      </c>
    </row>
    <row r="12176">
      <c r="A12176" s="3" t="n">
        <v>2022</v>
      </c>
      <c r="B12176" s="4" t="n">
        <v>35632</v>
      </c>
      <c r="C12176" s="4" t="n">
        <v>2321</v>
      </c>
      <c r="D12176" s="4" t="n">
        <v>702.1025</v>
      </c>
      <c r="E12176" s="5" t="n">
        <v>50.8</v>
      </c>
      <c r="F12176" s="3" t="inlineStr">
        <is>
          <t>금남면</t>
        </is>
      </c>
      <c r="G12176" s="3" t="inlineStr">
        <is>
          <t>봉암리</t>
        </is>
      </c>
      <c r="H12176" s="3" t="inlineStr">
        <is>
          <t>개발제한구역</t>
        </is>
      </c>
      <c r="I12176" s="3" t="inlineStr">
        <is>
          <t>전</t>
        </is>
      </c>
      <c r="J12176" s="3" t="inlineStr">
        <is>
          <t>금남면</t>
        </is>
      </c>
    </row>
    <row r="12177">
      <c r="A12177" s="3" t="n">
        <v>2022</v>
      </c>
      <c r="B12177" s="4" t="n">
        <v>46968</v>
      </c>
      <c r="C12177" s="4" t="n">
        <v>1619</v>
      </c>
      <c r="D12177" s="4" t="n">
        <v>489.7475</v>
      </c>
      <c r="E12177" s="5" t="n">
        <v>95.90000000000001</v>
      </c>
      <c r="F12177" s="3" t="inlineStr">
        <is>
          <t>금남면</t>
        </is>
      </c>
      <c r="G12177" s="3" t="inlineStr">
        <is>
          <t>봉암리</t>
        </is>
      </c>
      <c r="H12177" s="3" t="inlineStr">
        <is>
          <t>개발제한구역</t>
        </is>
      </c>
      <c r="I12177" s="3" t="inlineStr">
        <is>
          <t>답</t>
        </is>
      </c>
      <c r="J12177" s="3" t="inlineStr">
        <is>
          <t>금남면</t>
        </is>
      </c>
    </row>
    <row r="12178">
      <c r="A12178" s="3" t="n">
        <v>2022</v>
      </c>
      <c r="B12178" s="4" t="n">
        <v>419</v>
      </c>
      <c r="C12178" s="4" t="n">
        <v>33</v>
      </c>
      <c r="D12178" s="4" t="n">
        <v>9.9825</v>
      </c>
      <c r="E12178" s="5" t="n">
        <v>42</v>
      </c>
      <c r="F12178" s="3" t="inlineStr">
        <is>
          <t>금남면</t>
        </is>
      </c>
      <c r="G12178" s="3" t="inlineStr">
        <is>
          <t>봉암리</t>
        </is>
      </c>
      <c r="H12178" s="3" t="inlineStr">
        <is>
          <t>개발제한구역</t>
        </is>
      </c>
      <c r="I12178" s="3" t="inlineStr">
        <is>
          <t>도로</t>
        </is>
      </c>
      <c r="J12178" s="3" t="inlineStr">
        <is>
          <t>금남면</t>
        </is>
      </c>
    </row>
    <row r="12179">
      <c r="A12179" s="3" t="n">
        <v>2022</v>
      </c>
      <c r="B12179" s="4" t="n">
        <v>4821</v>
      </c>
      <c r="C12179" s="4" t="n">
        <v>314</v>
      </c>
      <c r="D12179" s="4" t="n">
        <v>94.985</v>
      </c>
      <c r="E12179" s="5" t="n">
        <v>50.8</v>
      </c>
      <c r="F12179" s="3" t="inlineStr">
        <is>
          <t>금남면</t>
        </is>
      </c>
      <c r="G12179" s="3" t="inlineStr">
        <is>
          <t>봉암리</t>
        </is>
      </c>
      <c r="H12179" s="3" t="inlineStr">
        <is>
          <t>개발제한구역</t>
        </is>
      </c>
      <c r="I12179" s="3" t="inlineStr">
        <is>
          <t>전</t>
        </is>
      </c>
      <c r="J12179" s="3" t="inlineStr">
        <is>
          <t>금남면</t>
        </is>
      </c>
    </row>
    <row r="12180">
      <c r="A12180" s="3" t="n">
        <v>2022</v>
      </c>
      <c r="B12180" s="4" t="n">
        <v>535</v>
      </c>
      <c r="C12180" s="4" t="n">
        <v>11</v>
      </c>
      <c r="D12180" s="4" t="n">
        <v>3.3275</v>
      </c>
      <c r="E12180" s="5" t="n">
        <v>160.8</v>
      </c>
      <c r="F12180" s="3" t="inlineStr">
        <is>
          <t>부강면</t>
        </is>
      </c>
      <c r="G12180" s="3" t="inlineStr">
        <is>
          <t>금호리</t>
        </is>
      </c>
      <c r="H12180" s="3" t="inlineStr">
        <is>
          <t>계획관리지역</t>
        </is>
      </c>
      <c r="I12180" s="3" t="inlineStr">
        <is>
          <t>대</t>
        </is>
      </c>
      <c r="J12180" s="3" t="inlineStr">
        <is>
          <t>부강면</t>
        </is>
      </c>
    </row>
    <row r="12181">
      <c r="A12181" s="3" t="n">
        <v>2022</v>
      </c>
      <c r="B12181" s="4" t="n">
        <v>535</v>
      </c>
      <c r="C12181" s="4" t="n">
        <v>10</v>
      </c>
      <c r="D12181" s="4" t="n">
        <v>3.025</v>
      </c>
      <c r="E12181" s="5" t="n">
        <v>176.9</v>
      </c>
      <c r="F12181" s="3" t="inlineStr">
        <is>
          <t>부강면</t>
        </is>
      </c>
      <c r="G12181" s="3" t="inlineStr">
        <is>
          <t>금호리</t>
        </is>
      </c>
      <c r="H12181" s="3" t="inlineStr">
        <is>
          <t>계획관리지역</t>
        </is>
      </c>
      <c r="I12181" s="3" t="inlineStr">
        <is>
          <t>대</t>
        </is>
      </c>
      <c r="J12181" s="3" t="inlineStr">
        <is>
          <t>부강면</t>
        </is>
      </c>
    </row>
    <row r="12182">
      <c r="A12182" s="3" t="n">
        <v>2022</v>
      </c>
      <c r="B12182" s="4" t="n">
        <v>90000</v>
      </c>
      <c r="C12182" s="4" t="n">
        <v>2633</v>
      </c>
      <c r="D12182" s="4" t="n">
        <v>796.4825</v>
      </c>
      <c r="E12182" s="5" t="n">
        <v>113</v>
      </c>
      <c r="F12182" s="3" t="inlineStr">
        <is>
          <t>장군면</t>
        </is>
      </c>
      <c r="G12182" s="3" t="inlineStr">
        <is>
          <t>송학리</t>
        </is>
      </c>
      <c r="H12182" s="3" t="inlineStr">
        <is>
          <t>계획관리지역</t>
        </is>
      </c>
      <c r="I12182" s="3" t="inlineStr">
        <is>
          <t>답</t>
        </is>
      </c>
      <c r="J12182" s="3" t="inlineStr">
        <is>
          <t>장군면</t>
        </is>
      </c>
    </row>
    <row r="12183">
      <c r="A12183" s="3" t="n">
        <v>2022</v>
      </c>
      <c r="B12183" s="4" t="n">
        <v>40000</v>
      </c>
      <c r="C12183" s="4" t="n">
        <v>1525</v>
      </c>
      <c r="D12183" s="4" t="n">
        <v>461.3125</v>
      </c>
      <c r="E12183" s="5" t="n">
        <v>86.7</v>
      </c>
      <c r="F12183" s="3" t="inlineStr">
        <is>
          <t>장군면</t>
        </is>
      </c>
      <c r="G12183" s="3" t="inlineStr">
        <is>
          <t>송학리</t>
        </is>
      </c>
      <c r="H12183" s="3" t="inlineStr">
        <is>
          <t>계획관리지역</t>
        </is>
      </c>
      <c r="I12183" s="3" t="inlineStr">
        <is>
          <t>답</t>
        </is>
      </c>
      <c r="J12183" s="3" t="inlineStr">
        <is>
          <t>장군면</t>
        </is>
      </c>
    </row>
    <row r="12184">
      <c r="A12184" s="3" t="n">
        <v>2022</v>
      </c>
      <c r="B12184" s="4" t="n">
        <v>40000</v>
      </c>
      <c r="C12184" s="4" t="n">
        <v>1464</v>
      </c>
      <c r="D12184" s="4" t="n">
        <v>442.86</v>
      </c>
      <c r="E12184" s="5" t="n">
        <v>90.3</v>
      </c>
      <c r="F12184" s="3" t="inlineStr">
        <is>
          <t>장군면</t>
        </is>
      </c>
      <c r="G12184" s="3" t="inlineStr">
        <is>
          <t>송학리</t>
        </is>
      </c>
      <c r="H12184" s="3" t="inlineStr">
        <is>
          <t>계획관리지역</t>
        </is>
      </c>
      <c r="I12184" s="3" t="inlineStr">
        <is>
          <t>답</t>
        </is>
      </c>
      <c r="J12184" s="3" t="inlineStr">
        <is>
          <t>장군면</t>
        </is>
      </c>
    </row>
    <row r="12185">
      <c r="A12185" s="3" t="n">
        <v>2022</v>
      </c>
      <c r="B12185" s="4" t="n">
        <v>62860</v>
      </c>
      <c r="C12185" s="4" t="n">
        <v>1039</v>
      </c>
      <c r="D12185" s="4" t="n">
        <v>314.2975</v>
      </c>
      <c r="E12185" s="5" t="n">
        <v>200</v>
      </c>
      <c r="F12185" s="3" t="inlineStr">
        <is>
          <t>장군면</t>
        </is>
      </c>
      <c r="G12185" s="3" t="inlineStr">
        <is>
          <t>하봉리</t>
        </is>
      </c>
      <c r="H12185" s="3" t="inlineStr">
        <is>
          <t>농림지역</t>
        </is>
      </c>
      <c r="I12185" s="3" t="inlineStr">
        <is>
          <t>답</t>
        </is>
      </c>
      <c r="J12185" s="3" t="inlineStr">
        <is>
          <t>장군면</t>
        </is>
      </c>
    </row>
    <row r="12186">
      <c r="A12186" s="3" t="n">
        <v>2022</v>
      </c>
      <c r="B12186" s="4" t="n">
        <v>2000</v>
      </c>
      <c r="C12186" s="4" t="n">
        <v>634</v>
      </c>
      <c r="D12186" s="4" t="n">
        <v>191.785</v>
      </c>
      <c r="E12186" s="5" t="n">
        <v>10.4</v>
      </c>
      <c r="F12186" s="3" t="inlineStr">
        <is>
          <t>조치원읍</t>
        </is>
      </c>
      <c r="G12186" s="3" t="inlineStr">
        <is>
          <t>봉산리</t>
        </is>
      </c>
      <c r="H12186" s="3" t="inlineStr">
        <is>
          <t>계획관리지역</t>
        </is>
      </c>
      <c r="I12186" s="3" t="inlineStr">
        <is>
          <t>임야</t>
        </is>
      </c>
      <c r="J12186" s="3" t="inlineStr">
        <is>
          <t>조치원읍</t>
        </is>
      </c>
    </row>
    <row r="12187">
      <c r="A12187" s="3" t="n">
        <v>2022</v>
      </c>
      <c r="B12187" s="4" t="n">
        <v>30</v>
      </c>
      <c r="C12187" s="4" t="n">
        <v>23</v>
      </c>
      <c r="D12187" s="4" t="n">
        <v>6.9575</v>
      </c>
      <c r="E12187" s="5" t="n">
        <v>4.3</v>
      </c>
      <c r="F12187" s="3" t="inlineStr">
        <is>
          <t>유구읍</t>
        </is>
      </c>
      <c r="G12187" s="3" t="inlineStr">
        <is>
          <t>만천리</t>
        </is>
      </c>
      <c r="H12187" s="3" t="inlineStr">
        <is>
          <t>계획관리지역</t>
        </is>
      </c>
      <c r="I12187" s="3" t="inlineStr">
        <is>
          <t>도로</t>
        </is>
      </c>
      <c r="J12187" s="3" t="inlineStr">
        <is>
          <t>유구읍</t>
        </is>
      </c>
    </row>
    <row r="12188">
      <c r="A12188" s="3" t="n">
        <v>2022</v>
      </c>
      <c r="B12188" s="4" t="n">
        <v>74</v>
      </c>
      <c r="C12188" s="4" t="n">
        <v>8</v>
      </c>
      <c r="D12188" s="4" t="n">
        <v>2.42</v>
      </c>
      <c r="E12188" s="5" t="n">
        <v>30.6</v>
      </c>
      <c r="F12188" s="3" t="inlineStr">
        <is>
          <t>남이면</t>
        </is>
      </c>
      <c r="G12188" s="3" t="inlineStr">
        <is>
          <t>가좌리</t>
        </is>
      </c>
      <c r="H12188" s="3" t="inlineStr">
        <is>
          <t>자연녹지지역</t>
        </is>
      </c>
      <c r="I12188" s="3" t="inlineStr">
        <is>
          <t>도로</t>
        </is>
      </c>
      <c r="J12188" s="3" t="inlineStr">
        <is>
          <t>남이면</t>
        </is>
      </c>
    </row>
    <row r="12189">
      <c r="A12189" s="3" t="n">
        <v>2024</v>
      </c>
      <c r="B12189" s="4" t="n">
        <v>1500</v>
      </c>
      <c r="C12189" s="4" t="n">
        <v>423</v>
      </c>
      <c r="D12189" s="4" t="n">
        <v>127.9575</v>
      </c>
      <c r="E12189" s="5" t="n">
        <v>11.7</v>
      </c>
      <c r="F12189" s="3" t="inlineStr">
        <is>
          <t>현도면</t>
        </is>
      </c>
      <c r="G12189" s="3" t="inlineStr">
        <is>
          <t>달계리</t>
        </is>
      </c>
      <c r="H12189" s="3" t="inlineStr">
        <is>
          <t>자연녹지지역</t>
        </is>
      </c>
      <c r="I12189" s="3" t="inlineStr">
        <is>
          <t>전</t>
        </is>
      </c>
      <c r="J12189" s="3" t="inlineStr">
        <is>
          <t>현도면</t>
        </is>
      </c>
    </row>
    <row r="12190">
      <c r="A12190" s="3" t="n">
        <v>2025</v>
      </c>
      <c r="B12190" s="4" t="n">
        <v>29200</v>
      </c>
      <c r="C12190" s="4" t="n">
        <v>1216</v>
      </c>
      <c r="D12190" s="4" t="n">
        <v>367.84</v>
      </c>
      <c r="E12190" s="5" t="n">
        <v>79.40000000000001</v>
      </c>
      <c r="F12190" s="3" t="inlineStr">
        <is>
          <t>남이면</t>
        </is>
      </c>
      <c r="G12190" s="3" t="inlineStr">
        <is>
          <t>외천리</t>
        </is>
      </c>
      <c r="H12190" s="3" t="inlineStr">
        <is>
          <t>농림지역</t>
        </is>
      </c>
      <c r="I12190" s="3" t="inlineStr">
        <is>
          <t>답</t>
        </is>
      </c>
      <c r="J12190" s="3" t="inlineStr">
        <is>
          <t>남이면</t>
        </is>
      </c>
    </row>
    <row r="12191">
      <c r="A12191" s="3" t="n">
        <v>2025</v>
      </c>
      <c r="B12191" s="4" t="n">
        <v>9111</v>
      </c>
      <c r="C12191" s="4" t="n">
        <v>1029.3</v>
      </c>
      <c r="D12191" s="4" t="n">
        <v>311.36325</v>
      </c>
      <c r="E12191" s="5" t="n">
        <v>29.3</v>
      </c>
      <c r="F12191" s="3" t="inlineStr">
        <is>
          <t>남이면</t>
        </is>
      </c>
      <c r="G12191" s="3" t="inlineStr">
        <is>
          <t>갈원리</t>
        </is>
      </c>
      <c r="H12191" s="3" t="inlineStr">
        <is>
          <t>농림지역</t>
        </is>
      </c>
      <c r="I12191" s="3" t="inlineStr">
        <is>
          <t>답</t>
        </is>
      </c>
      <c r="J12191" s="3" t="inlineStr">
        <is>
          <t>남이면</t>
        </is>
      </c>
    </row>
    <row r="12192">
      <c r="A12192" s="3" t="n">
        <v>2025</v>
      </c>
      <c r="B12192" s="4" t="n">
        <v>95109</v>
      </c>
      <c r="C12192" s="4" t="n">
        <v>2139</v>
      </c>
      <c r="D12192" s="4" t="n">
        <v>647.0475</v>
      </c>
      <c r="E12192" s="5" t="n">
        <v>147</v>
      </c>
      <c r="F12192" s="3" t="inlineStr">
        <is>
          <t>남이면</t>
        </is>
      </c>
      <c r="G12192" s="3" t="inlineStr">
        <is>
          <t>가마리</t>
        </is>
      </c>
      <c r="H12192" s="3" t="inlineStr">
        <is>
          <t>자연녹지지역</t>
        </is>
      </c>
      <c r="I12192" s="3" t="inlineStr">
        <is>
          <t>답</t>
        </is>
      </c>
      <c r="J12192" s="3" t="inlineStr">
        <is>
          <t>남이면</t>
        </is>
      </c>
    </row>
    <row r="12193">
      <c r="A12193" s="3" t="n">
        <v>2025</v>
      </c>
      <c r="B12193" s="4" t="n">
        <v>11220</v>
      </c>
      <c r="C12193" s="4" t="n">
        <v>1427</v>
      </c>
      <c r="D12193" s="4" t="n">
        <v>431.6675</v>
      </c>
      <c r="E12193" s="5" t="n">
        <v>26</v>
      </c>
      <c r="F12193" s="3" t="inlineStr">
        <is>
          <t>남이면</t>
        </is>
      </c>
      <c r="G12193" s="3" t="inlineStr">
        <is>
          <t>구미리</t>
        </is>
      </c>
      <c r="H12193" s="3" t="inlineStr">
        <is>
          <t>계획관리지역</t>
        </is>
      </c>
      <c r="I12193" s="3" t="inlineStr">
        <is>
          <t>임야</t>
        </is>
      </c>
      <c r="J12193" s="3" t="inlineStr">
        <is>
          <t>남이면</t>
        </is>
      </c>
    </row>
    <row r="12194">
      <c r="A12194" s="3" t="n">
        <v>2025</v>
      </c>
      <c r="B12194" s="4" t="n">
        <v>3340</v>
      </c>
      <c r="C12194" s="4" t="n">
        <v>425</v>
      </c>
      <c r="D12194" s="4" t="n">
        <v>128.5625</v>
      </c>
      <c r="E12194" s="5" t="n">
        <v>26</v>
      </c>
      <c r="F12194" s="3" t="inlineStr">
        <is>
          <t>남이면</t>
        </is>
      </c>
      <c r="G12194" s="3" t="inlineStr">
        <is>
          <t>구미리</t>
        </is>
      </c>
      <c r="H12194" s="3" t="inlineStr">
        <is>
          <t>계획관리지역</t>
        </is>
      </c>
      <c r="I12194" s="3" t="inlineStr">
        <is>
          <t>임야</t>
        </is>
      </c>
      <c r="J12194" s="3" t="inlineStr">
        <is>
          <t>남이면</t>
        </is>
      </c>
    </row>
    <row r="12195">
      <c r="A12195" s="3" t="n">
        <v>2025</v>
      </c>
      <c r="B12195" s="4" t="n">
        <v>16227</v>
      </c>
      <c r="C12195" s="4" t="n">
        <v>907</v>
      </c>
      <c r="D12195" s="4" t="n">
        <v>274.3675</v>
      </c>
      <c r="E12195" s="5" t="n">
        <v>59.1</v>
      </c>
      <c r="F12195" s="3" t="inlineStr">
        <is>
          <t>현도면</t>
        </is>
      </c>
      <c r="G12195" s="3" t="inlineStr">
        <is>
          <t>죽암리</t>
        </is>
      </c>
      <c r="H12195" s="3" t="inlineStr">
        <is>
          <t>계획관리지역</t>
        </is>
      </c>
      <c r="I12195" s="3" t="inlineStr">
        <is>
          <t>전</t>
        </is>
      </c>
      <c r="J12195" s="3" t="inlineStr">
        <is>
          <t>현도면</t>
        </is>
      </c>
    </row>
    <row r="12196">
      <c r="A12196" s="3" t="n">
        <v>2025</v>
      </c>
      <c r="B12196" s="4" t="n">
        <v>49216</v>
      </c>
      <c r="C12196" s="4" t="n">
        <v>1405</v>
      </c>
      <c r="D12196" s="4" t="n">
        <v>425.0125</v>
      </c>
      <c r="E12196" s="5" t="n">
        <v>115.8</v>
      </c>
      <c r="F12196" s="3" t="inlineStr">
        <is>
          <t>현도면</t>
        </is>
      </c>
      <c r="G12196" s="3" t="inlineStr">
        <is>
          <t>죽암리</t>
        </is>
      </c>
      <c r="H12196" s="3" t="inlineStr">
        <is>
          <t>계획관리지역</t>
        </is>
      </c>
      <c r="I12196" s="3" t="inlineStr">
        <is>
          <t>공장용지</t>
        </is>
      </c>
      <c r="J12196" s="3" t="inlineStr">
        <is>
          <t>현도면</t>
        </is>
      </c>
    </row>
    <row r="12197">
      <c r="A12197" s="3" t="n">
        <v>2025</v>
      </c>
      <c r="B12197" s="4" t="n">
        <v>107761</v>
      </c>
      <c r="C12197" s="4" t="n">
        <v>4768</v>
      </c>
      <c r="D12197" s="4" t="n">
        <v>1442.32</v>
      </c>
      <c r="E12197" s="5" t="n">
        <v>74.7</v>
      </c>
      <c r="F12197" s="3" t="inlineStr">
        <is>
          <t>현도면</t>
        </is>
      </c>
      <c r="G12197" s="3" t="inlineStr">
        <is>
          <t>죽암리</t>
        </is>
      </c>
      <c r="H12197" s="3" t="inlineStr">
        <is>
          <t>계획관리지역</t>
        </is>
      </c>
      <c r="I12197" s="3" t="inlineStr">
        <is>
          <t>공장용지</t>
        </is>
      </c>
      <c r="J12197" s="3" t="inlineStr">
        <is>
          <t>현도면</t>
        </is>
      </c>
    </row>
    <row r="12198">
      <c r="A12198" s="3" t="n">
        <v>2025</v>
      </c>
      <c r="B12198" s="4" t="n">
        <v>26000</v>
      </c>
      <c r="C12198" s="4" t="n">
        <v>2275</v>
      </c>
      <c r="D12198" s="4" t="n">
        <v>688.1875</v>
      </c>
      <c r="E12198" s="5" t="n">
        <v>37.8</v>
      </c>
      <c r="F12198" s="3" t="inlineStr">
        <is>
          <t>현도면</t>
        </is>
      </c>
      <c r="G12198" s="3" t="inlineStr">
        <is>
          <t>죽전리</t>
        </is>
      </c>
      <c r="H12198" s="3" t="inlineStr">
        <is>
          <t>개발제한구역</t>
        </is>
      </c>
      <c r="I12198" s="3" t="inlineStr">
        <is>
          <t>답</t>
        </is>
      </c>
      <c r="J12198" s="3" t="inlineStr">
        <is>
          <t>현도면</t>
        </is>
      </c>
    </row>
    <row r="12199">
      <c r="A12199" s="3" t="n">
        <v>2025</v>
      </c>
      <c r="B12199" s="4" t="n">
        <v>37681</v>
      </c>
      <c r="C12199" s="4" t="n">
        <v>1385</v>
      </c>
      <c r="D12199" s="4" t="n">
        <v>418.9625</v>
      </c>
      <c r="E12199" s="5" t="n">
        <v>89.90000000000001</v>
      </c>
      <c r="F12199" s="3" t="inlineStr">
        <is>
          <t>남이면</t>
        </is>
      </c>
      <c r="G12199" s="3" t="inlineStr">
        <is>
          <t>가좌리</t>
        </is>
      </c>
      <c r="H12199" s="3" t="inlineStr">
        <is>
          <t>자연녹지지역</t>
        </is>
      </c>
      <c r="I12199" s="3" t="inlineStr">
        <is>
          <t>답</t>
        </is>
      </c>
      <c r="J12199" s="3" t="inlineStr">
        <is>
          <t>남이면</t>
        </is>
      </c>
    </row>
    <row r="12200">
      <c r="A12200" s="3" t="n">
        <v>2025</v>
      </c>
      <c r="B12200" s="4" t="n">
        <v>44319</v>
      </c>
      <c r="C12200" s="4" t="n">
        <v>1629</v>
      </c>
      <c r="D12200" s="4" t="n">
        <v>492.7725</v>
      </c>
      <c r="E12200" s="5" t="n">
        <v>89.90000000000001</v>
      </c>
      <c r="F12200" s="3" t="inlineStr">
        <is>
          <t>남이면</t>
        </is>
      </c>
      <c r="G12200" s="3" t="inlineStr">
        <is>
          <t>가좌리</t>
        </is>
      </c>
      <c r="H12200" s="3" t="inlineStr">
        <is>
          <t>자연녹지지역</t>
        </is>
      </c>
      <c r="I12200" s="3" t="inlineStr">
        <is>
          <t>답</t>
        </is>
      </c>
      <c r="J12200" s="3" t="inlineStr">
        <is>
          <t>남이면</t>
        </is>
      </c>
    </row>
    <row r="12201">
      <c r="A12201" s="3" t="n">
        <v>2025</v>
      </c>
      <c r="B12201" s="4" t="n">
        <v>1000</v>
      </c>
      <c r="C12201" s="4" t="n">
        <v>278</v>
      </c>
      <c r="D12201" s="4" t="n">
        <v>84.095</v>
      </c>
      <c r="E12201" s="5" t="n">
        <v>11.9</v>
      </c>
      <c r="F12201" s="3" t="inlineStr">
        <is>
          <t>현도면</t>
        </is>
      </c>
      <c r="G12201" s="3" t="inlineStr">
        <is>
          <t>죽암리</t>
        </is>
      </c>
      <c r="H12201" s="3" t="inlineStr">
        <is>
          <t>생산관리지역</t>
        </is>
      </c>
      <c r="I12201" s="3" t="inlineStr">
        <is>
          <t>전</t>
        </is>
      </c>
      <c r="J12201" s="3" t="inlineStr">
        <is>
          <t>현도면</t>
        </is>
      </c>
    </row>
    <row r="12202">
      <c r="A12202" s="3" t="n">
        <v>2025</v>
      </c>
      <c r="B12202" s="4" t="n">
        <v>14000</v>
      </c>
      <c r="C12202" s="4" t="n">
        <v>853</v>
      </c>
      <c r="D12202" s="4" t="n">
        <v>258.0325</v>
      </c>
      <c r="E12202" s="5" t="n">
        <v>54.3</v>
      </c>
      <c r="F12202" s="3" t="inlineStr">
        <is>
          <t>남이면</t>
        </is>
      </c>
      <c r="G12202" s="3" t="inlineStr">
        <is>
          <t>문동리</t>
        </is>
      </c>
      <c r="H12202" s="3" t="inlineStr">
        <is>
          <t>자연녹지지역</t>
        </is>
      </c>
      <c r="I12202" s="3" t="inlineStr">
        <is>
          <t>대</t>
        </is>
      </c>
      <c r="J12202" s="3" t="inlineStr">
        <is>
          <t>남이면</t>
        </is>
      </c>
    </row>
    <row r="12203">
      <c r="A12203" s="3" t="n">
        <v>2025</v>
      </c>
      <c r="B12203" s="4" t="n">
        <v>5200</v>
      </c>
      <c r="C12203" s="4" t="n">
        <v>73</v>
      </c>
      <c r="D12203" s="4" t="n">
        <v>22.0825</v>
      </c>
      <c r="E12203" s="5" t="n">
        <v>235.5</v>
      </c>
      <c r="F12203" s="3" t="inlineStr">
        <is>
          <t>남이면</t>
        </is>
      </c>
      <c r="G12203" s="3" t="inlineStr">
        <is>
          <t>외천리</t>
        </is>
      </c>
      <c r="H12203" s="3" t="inlineStr">
        <is>
          <t>계획관리지역</t>
        </is>
      </c>
      <c r="I12203" s="3" t="inlineStr">
        <is>
          <t>도로</t>
        </is>
      </c>
      <c r="J12203" s="3" t="inlineStr">
        <is>
          <t>남이면</t>
        </is>
      </c>
    </row>
    <row r="12204">
      <c r="A12204" s="3" t="n">
        <v>2025</v>
      </c>
      <c r="B12204" s="4" t="n">
        <v>19000</v>
      </c>
      <c r="C12204" s="4" t="n">
        <v>918</v>
      </c>
      <c r="D12204" s="4" t="n">
        <v>277.695</v>
      </c>
      <c r="E12204" s="5" t="n">
        <v>68.40000000000001</v>
      </c>
      <c r="F12204" s="3" t="inlineStr">
        <is>
          <t>남이면</t>
        </is>
      </c>
      <c r="G12204" s="3" t="inlineStr">
        <is>
          <t>가좌리</t>
        </is>
      </c>
      <c r="H12204" s="3" t="inlineStr">
        <is>
          <t>자연녹지지역</t>
        </is>
      </c>
      <c r="I12204" s="3" t="inlineStr">
        <is>
          <t>전</t>
        </is>
      </c>
      <c r="J12204" s="3" t="inlineStr">
        <is>
          <t>남이면</t>
        </is>
      </c>
    </row>
    <row r="12205">
      <c r="A12205" s="3" t="n">
        <v>2025</v>
      </c>
      <c r="B12205" s="4" t="n">
        <v>9690</v>
      </c>
      <c r="C12205" s="4" t="n">
        <v>843</v>
      </c>
      <c r="D12205" s="4" t="n">
        <v>255.0075</v>
      </c>
      <c r="E12205" s="5" t="n">
        <v>38</v>
      </c>
      <c r="F12205" s="3" t="inlineStr">
        <is>
          <t>현도면</t>
        </is>
      </c>
      <c r="G12205" s="3" t="inlineStr">
        <is>
          <t>죽전리</t>
        </is>
      </c>
      <c r="H12205" s="3" t="inlineStr">
        <is>
          <t>농림지역</t>
        </is>
      </c>
      <c r="I12205" s="3" t="inlineStr">
        <is>
          <t>답</t>
        </is>
      </c>
      <c r="J12205" s="3" t="inlineStr">
        <is>
          <t>현도면</t>
        </is>
      </c>
    </row>
    <row r="12206">
      <c r="A12206" s="3" t="n">
        <v>2025</v>
      </c>
      <c r="B12206" s="4" t="n">
        <v>105000</v>
      </c>
      <c r="C12206" s="4" t="n">
        <v>4911</v>
      </c>
      <c r="D12206" s="4" t="n">
        <v>1485.5775</v>
      </c>
      <c r="E12206" s="5" t="n">
        <v>70.7</v>
      </c>
      <c r="F12206" s="3" t="inlineStr">
        <is>
          <t>남이면</t>
        </is>
      </c>
      <c r="G12206" s="3" t="inlineStr">
        <is>
          <t>가좌리</t>
        </is>
      </c>
      <c r="H12206" s="3" t="inlineStr">
        <is>
          <t>자연녹지지역</t>
        </is>
      </c>
      <c r="I12206" s="3" t="inlineStr">
        <is>
          <t>답</t>
        </is>
      </c>
      <c r="J12206" s="3" t="inlineStr">
        <is>
          <t>남이면</t>
        </is>
      </c>
    </row>
    <row r="12207">
      <c r="A12207" s="3" t="n">
        <v>2025</v>
      </c>
      <c r="B12207" s="4" t="n">
        <v>6000</v>
      </c>
      <c r="C12207" s="4" t="n">
        <v>205</v>
      </c>
      <c r="D12207" s="4" t="n">
        <v>62.0125</v>
      </c>
      <c r="E12207" s="5" t="n">
        <v>96.8</v>
      </c>
      <c r="F12207" s="3" t="inlineStr">
        <is>
          <t>남이면</t>
        </is>
      </c>
      <c r="G12207" s="3" t="inlineStr">
        <is>
          <t>부용외천리</t>
        </is>
      </c>
      <c r="H12207" s="3" t="inlineStr">
        <is>
          <t>계획관리지역</t>
        </is>
      </c>
      <c r="I12207" s="3" t="inlineStr">
        <is>
          <t>대</t>
        </is>
      </c>
      <c r="J12207" s="3" t="inlineStr">
        <is>
          <t>남이면</t>
        </is>
      </c>
    </row>
    <row r="12208">
      <c r="A12208" s="3" t="n">
        <v>2025</v>
      </c>
      <c r="B12208" s="4" t="n">
        <v>50000</v>
      </c>
      <c r="C12208" s="4" t="n">
        <v>2412</v>
      </c>
      <c r="D12208" s="4" t="n">
        <v>729.63</v>
      </c>
      <c r="E12208" s="5" t="n">
        <v>68.5</v>
      </c>
      <c r="F12208" s="3" t="inlineStr">
        <is>
          <t>남이면</t>
        </is>
      </c>
      <c r="G12208" s="3" t="inlineStr">
        <is>
          <t>척산리</t>
        </is>
      </c>
      <c r="H12208" s="3" t="inlineStr">
        <is>
          <t>농림지역</t>
        </is>
      </c>
      <c r="I12208" s="3" t="inlineStr">
        <is>
          <t>답</t>
        </is>
      </c>
      <c r="J12208" s="3" t="inlineStr">
        <is>
          <t>남이면</t>
        </is>
      </c>
    </row>
    <row r="12209">
      <c r="A12209" s="3" t="n">
        <v>2025</v>
      </c>
      <c r="B12209" s="4" t="n">
        <v>34123</v>
      </c>
      <c r="C12209" s="4" t="n">
        <v>531</v>
      </c>
      <c r="D12209" s="4" t="n">
        <v>160.6275</v>
      </c>
      <c r="E12209" s="5" t="n">
        <v>212.4</v>
      </c>
      <c r="F12209" s="3" t="inlineStr">
        <is>
          <t>남이면</t>
        </is>
      </c>
      <c r="G12209" s="3" t="inlineStr">
        <is>
          <t>가마리</t>
        </is>
      </c>
      <c r="H12209" s="3" t="inlineStr">
        <is>
          <t>자연녹지지역</t>
        </is>
      </c>
      <c r="I12209" s="3" t="inlineStr">
        <is>
          <t>대</t>
        </is>
      </c>
      <c r="J12209" s="3" t="inlineStr">
        <is>
          <t>남이면</t>
        </is>
      </c>
    </row>
    <row r="12210">
      <c r="A12210" s="3" t="n">
        <v>2025</v>
      </c>
      <c r="B12210" s="4" t="n">
        <v>4563</v>
      </c>
      <c r="C12210" s="4" t="n">
        <v>71</v>
      </c>
      <c r="D12210" s="4" t="n">
        <v>21.4775</v>
      </c>
      <c r="E12210" s="5" t="n">
        <v>212.5</v>
      </c>
      <c r="F12210" s="3" t="inlineStr">
        <is>
          <t>남이면</t>
        </is>
      </c>
      <c r="G12210" s="3" t="inlineStr">
        <is>
          <t>가마리</t>
        </is>
      </c>
      <c r="H12210" s="3" t="inlineStr">
        <is>
          <t>자연녹지지역</t>
        </is>
      </c>
      <c r="I12210" s="3" t="inlineStr">
        <is>
          <t>전</t>
        </is>
      </c>
      <c r="J12210" s="3" t="inlineStr">
        <is>
          <t>남이면</t>
        </is>
      </c>
    </row>
    <row r="12211">
      <c r="A12211" s="3" t="n">
        <v>2025</v>
      </c>
      <c r="B12211" s="4" t="n">
        <v>18315</v>
      </c>
      <c r="C12211" s="4" t="n">
        <v>285</v>
      </c>
      <c r="D12211" s="4" t="n">
        <v>86.21249999999999</v>
      </c>
      <c r="E12211" s="5" t="n">
        <v>212.4</v>
      </c>
      <c r="F12211" s="3" t="inlineStr">
        <is>
          <t>남이면</t>
        </is>
      </c>
      <c r="G12211" s="3" t="inlineStr">
        <is>
          <t>가마리</t>
        </is>
      </c>
      <c r="H12211" s="3" t="inlineStr">
        <is>
          <t>자연녹지지역</t>
        </is>
      </c>
      <c r="I12211" s="3" t="inlineStr">
        <is>
          <t>전</t>
        </is>
      </c>
      <c r="J12211" s="3" t="inlineStr">
        <is>
          <t>남이면</t>
        </is>
      </c>
    </row>
    <row r="12212">
      <c r="A12212" s="3" t="n">
        <v>2025</v>
      </c>
      <c r="B12212" s="4" t="n">
        <v>646</v>
      </c>
      <c r="C12212" s="4" t="n">
        <v>36</v>
      </c>
      <c r="D12212" s="4" t="n">
        <v>10.89</v>
      </c>
      <c r="E12212" s="5" t="n">
        <v>59.3</v>
      </c>
      <c r="F12212" s="3" t="inlineStr">
        <is>
          <t>남이면</t>
        </is>
      </c>
      <c r="G12212" s="3" t="inlineStr">
        <is>
          <t>척산리</t>
        </is>
      </c>
      <c r="H12212" s="3" t="inlineStr">
        <is>
          <t>생산관리지역</t>
        </is>
      </c>
      <c r="I12212" s="3" t="inlineStr">
        <is>
          <t>도로</t>
        </is>
      </c>
      <c r="J12212" s="3" t="inlineStr">
        <is>
          <t>남이면</t>
        </is>
      </c>
    </row>
    <row r="12213">
      <c r="A12213" s="3" t="n">
        <v>2025</v>
      </c>
      <c r="B12213" s="4" t="n">
        <v>9000</v>
      </c>
      <c r="C12213" s="4" t="n">
        <v>1568</v>
      </c>
      <c r="D12213" s="4" t="n">
        <v>474.32</v>
      </c>
      <c r="E12213" s="5" t="n">
        <v>19</v>
      </c>
      <c r="F12213" s="3" t="inlineStr">
        <is>
          <t>현도면</t>
        </is>
      </c>
      <c r="G12213" s="3" t="inlineStr">
        <is>
          <t>노산리</t>
        </is>
      </c>
      <c r="H12213" s="3" t="inlineStr">
        <is>
          <t>개발제한구역</t>
        </is>
      </c>
      <c r="I12213" s="3" t="inlineStr">
        <is>
          <t>답</t>
        </is>
      </c>
      <c r="J12213" s="3" t="inlineStr">
        <is>
          <t>현도면</t>
        </is>
      </c>
    </row>
    <row r="12214">
      <c r="A12214" s="3" t="n">
        <v>2025</v>
      </c>
      <c r="B12214" s="4" t="n">
        <v>3930</v>
      </c>
      <c r="C12214" s="4" t="n">
        <v>185</v>
      </c>
      <c r="D12214" s="4" t="n">
        <v>55.9625</v>
      </c>
      <c r="E12214" s="5" t="n">
        <v>70.2</v>
      </c>
      <c r="F12214" s="3" t="inlineStr">
        <is>
          <t>남이면</t>
        </is>
      </c>
      <c r="G12214" s="3" t="inlineStr">
        <is>
          <t>수대리</t>
        </is>
      </c>
      <c r="H12214" s="3" t="inlineStr">
        <is>
          <t>자연녹지지역</t>
        </is>
      </c>
      <c r="I12214" s="3" t="inlineStr">
        <is>
          <t>전</t>
        </is>
      </c>
      <c r="J12214" s="3" t="inlineStr">
        <is>
          <t>남이면</t>
        </is>
      </c>
    </row>
    <row r="12215">
      <c r="A12215" s="3" t="n">
        <v>2025</v>
      </c>
      <c r="B12215" s="4" t="n">
        <v>70</v>
      </c>
      <c r="C12215" s="4" t="n">
        <v>3</v>
      </c>
      <c r="D12215" s="4" t="n">
        <v>0.9075</v>
      </c>
      <c r="E12215" s="5" t="n">
        <v>77.09999999999999</v>
      </c>
      <c r="F12215" s="3" t="inlineStr">
        <is>
          <t>남이면</t>
        </is>
      </c>
      <c r="G12215" s="3" t="inlineStr">
        <is>
          <t>수대리</t>
        </is>
      </c>
      <c r="H12215" s="3" t="inlineStr">
        <is>
          <t>자연녹지지역</t>
        </is>
      </c>
      <c r="I12215" s="3" t="inlineStr">
        <is>
          <t>전</t>
        </is>
      </c>
      <c r="J12215" s="3" t="inlineStr">
        <is>
          <t>남이면</t>
        </is>
      </c>
    </row>
    <row r="12216">
      <c r="A12216" s="3" t="n">
        <v>2025</v>
      </c>
      <c r="B12216" s="4" t="n">
        <v>150</v>
      </c>
      <c r="C12216" s="4" t="n">
        <v>2</v>
      </c>
      <c r="D12216" s="4" t="n">
        <v>0.605</v>
      </c>
      <c r="E12216" s="5" t="n">
        <v>247.9</v>
      </c>
      <c r="F12216" s="3" t="inlineStr">
        <is>
          <t>남이면</t>
        </is>
      </c>
      <c r="G12216" s="3" t="inlineStr">
        <is>
          <t>수대리</t>
        </is>
      </c>
      <c r="H12216" s="3" t="inlineStr">
        <is>
          <t>자연녹지지역</t>
        </is>
      </c>
      <c r="I12216" s="3" t="inlineStr">
        <is>
          <t>도로</t>
        </is>
      </c>
      <c r="J12216" s="3" t="inlineStr">
        <is>
          <t>남이면</t>
        </is>
      </c>
    </row>
    <row r="12217">
      <c r="A12217" s="3" t="n">
        <v>2025</v>
      </c>
      <c r="B12217" s="4" t="n">
        <v>13454</v>
      </c>
      <c r="C12217" s="4" t="n">
        <v>261</v>
      </c>
      <c r="D12217" s="4" t="n">
        <v>78.9525</v>
      </c>
      <c r="E12217" s="5" t="n">
        <v>170.4</v>
      </c>
      <c r="F12217" s="3" t="inlineStr">
        <is>
          <t>현도면</t>
        </is>
      </c>
      <c r="G12217" s="3" t="inlineStr">
        <is>
          <t>노산리</t>
        </is>
      </c>
      <c r="H12217" s="3" t="inlineStr">
        <is>
          <t>제1종일반주거지역</t>
        </is>
      </c>
      <c r="I12217" s="3" t="inlineStr">
        <is>
          <t>대</t>
        </is>
      </c>
      <c r="J12217" s="3" t="inlineStr">
        <is>
          <t>현도면</t>
        </is>
      </c>
    </row>
    <row r="12218">
      <c r="A12218" s="3" t="n">
        <v>2025</v>
      </c>
      <c r="B12218" s="4" t="n">
        <v>11959</v>
      </c>
      <c r="C12218" s="4" t="n">
        <v>232</v>
      </c>
      <c r="D12218" s="4" t="n">
        <v>70.17999999999999</v>
      </c>
      <c r="E12218" s="5" t="n">
        <v>170.4</v>
      </c>
      <c r="F12218" s="3" t="inlineStr">
        <is>
          <t>현도면</t>
        </is>
      </c>
      <c r="G12218" s="3" t="inlineStr">
        <is>
          <t>노산리</t>
        </is>
      </c>
      <c r="H12218" s="3" t="inlineStr">
        <is>
          <t>개발제한구역</t>
        </is>
      </c>
      <c r="I12218" s="3" t="inlineStr">
        <is>
          <t>대</t>
        </is>
      </c>
      <c r="J12218" s="3" t="inlineStr">
        <is>
          <t>현도면</t>
        </is>
      </c>
    </row>
    <row r="12219">
      <c r="A12219" s="3" t="n">
        <v>2025</v>
      </c>
      <c r="B12219" s="4" t="n">
        <v>24588</v>
      </c>
      <c r="C12219" s="4" t="n">
        <v>477</v>
      </c>
      <c r="D12219" s="4" t="n">
        <v>144.2925</v>
      </c>
      <c r="E12219" s="5" t="n">
        <v>170.4</v>
      </c>
      <c r="F12219" s="3" t="inlineStr">
        <is>
          <t>현도면</t>
        </is>
      </c>
      <c r="G12219" s="3" t="inlineStr">
        <is>
          <t>노산리</t>
        </is>
      </c>
      <c r="H12219" s="3" t="inlineStr">
        <is>
          <t>제1종일반주거지역</t>
        </is>
      </c>
      <c r="I12219" s="3" t="inlineStr">
        <is>
          <t>대</t>
        </is>
      </c>
      <c r="J12219" s="3" t="inlineStr">
        <is>
          <t>현도면</t>
        </is>
      </c>
    </row>
    <row r="12220">
      <c r="A12220" s="3" t="n">
        <v>2025</v>
      </c>
      <c r="B12220" s="4" t="n">
        <v>76728</v>
      </c>
      <c r="C12220" s="4" t="n">
        <v>919</v>
      </c>
      <c r="D12220" s="4" t="n">
        <v>277.9975</v>
      </c>
      <c r="E12220" s="5" t="n">
        <v>276</v>
      </c>
      <c r="F12220" s="3" t="inlineStr">
        <is>
          <t>현도면</t>
        </is>
      </c>
      <c r="G12220" s="3" t="inlineStr">
        <is>
          <t>매봉리</t>
        </is>
      </c>
      <c r="H12220" s="3" t="inlineStr">
        <is>
          <t>제2종일반주거지역</t>
        </is>
      </c>
      <c r="I12220" s="3" t="inlineStr">
        <is>
          <t>답</t>
        </is>
      </c>
      <c r="J12220" s="3" t="inlineStr">
        <is>
          <t>현도면</t>
        </is>
      </c>
    </row>
    <row r="12221">
      <c r="A12221" s="3" t="n">
        <v>2025</v>
      </c>
      <c r="B12221" s="4" t="n">
        <v>17272</v>
      </c>
      <c r="C12221" s="4" t="n">
        <v>207</v>
      </c>
      <c r="D12221" s="4" t="n">
        <v>62.6175</v>
      </c>
      <c r="E12221" s="5" t="n">
        <v>275.8</v>
      </c>
      <c r="F12221" s="3" t="inlineStr">
        <is>
          <t>현도면</t>
        </is>
      </c>
      <c r="G12221" s="3" t="inlineStr">
        <is>
          <t>매봉리</t>
        </is>
      </c>
      <c r="H12221" s="3" t="inlineStr">
        <is>
          <t>제2종일반주거지역</t>
        </is>
      </c>
      <c r="I12221" s="3" t="inlineStr">
        <is>
          <t>답</t>
        </is>
      </c>
      <c r="J12221" s="3" t="inlineStr">
        <is>
          <t>현도면</t>
        </is>
      </c>
    </row>
    <row r="12222">
      <c r="A12222" s="3" t="n">
        <v>2025</v>
      </c>
      <c r="B12222" s="4" t="n">
        <v>20000</v>
      </c>
      <c r="C12222" s="4" t="n">
        <v>129</v>
      </c>
      <c r="D12222" s="4" t="n">
        <v>39.0225</v>
      </c>
      <c r="E12222" s="5" t="n">
        <v>512.5</v>
      </c>
      <c r="F12222" s="3" t="inlineStr">
        <is>
          <t>현도면</t>
        </is>
      </c>
      <c r="G12222" s="3" t="inlineStr">
        <is>
          <t>선동리</t>
        </is>
      </c>
      <c r="H12222" s="3" t="inlineStr">
        <is>
          <t>제1종일반주거지역</t>
        </is>
      </c>
      <c r="I12222" s="3" t="inlineStr">
        <is>
          <t>대</t>
        </is>
      </c>
      <c r="J12222" s="3" t="inlineStr">
        <is>
          <t>현도면</t>
        </is>
      </c>
    </row>
    <row r="12223">
      <c r="A12223" s="3" t="n">
        <v>2025</v>
      </c>
      <c r="B12223" s="4" t="n">
        <v>400</v>
      </c>
      <c r="C12223" s="4" t="n">
        <v>297</v>
      </c>
      <c r="D12223" s="4" t="n">
        <v>89.8425</v>
      </c>
      <c r="E12223" s="5" t="n">
        <v>4.5</v>
      </c>
      <c r="F12223" s="3" t="inlineStr">
        <is>
          <t>남이면</t>
        </is>
      </c>
      <c r="G12223" s="3" t="inlineStr">
        <is>
          <t>외천리</t>
        </is>
      </c>
      <c r="H12223" s="3" t="inlineStr">
        <is>
          <t>계획관리지역</t>
        </is>
      </c>
      <c r="I12223" s="3" t="inlineStr">
        <is>
          <t>전</t>
        </is>
      </c>
      <c r="J12223" s="3" t="inlineStr">
        <is>
          <t>남이면</t>
        </is>
      </c>
    </row>
    <row r="12224">
      <c r="A12224" s="3" t="n">
        <v>2025</v>
      </c>
      <c r="B12224" s="4" t="n">
        <v>10191</v>
      </c>
      <c r="C12224" s="4" t="n">
        <v>237</v>
      </c>
      <c r="D12224" s="4" t="n">
        <v>71.6925</v>
      </c>
      <c r="E12224" s="5" t="n">
        <v>142.1</v>
      </c>
      <c r="F12224" s="3" t="inlineStr">
        <is>
          <t>현도면</t>
        </is>
      </c>
      <c r="G12224" s="3" t="inlineStr">
        <is>
          <t>선동리</t>
        </is>
      </c>
      <c r="H12224" s="3" t="inlineStr">
        <is>
          <t>용도미지정</t>
        </is>
      </c>
      <c r="I12224" s="3" t="inlineStr">
        <is>
          <t>대</t>
        </is>
      </c>
      <c r="J12224" s="3" t="inlineStr">
        <is>
          <t>현도면</t>
        </is>
      </c>
    </row>
    <row r="12225">
      <c r="A12225" s="3" t="n">
        <v>2025</v>
      </c>
      <c r="B12225" s="4" t="n">
        <v>11000</v>
      </c>
      <c r="C12225" s="4" t="n">
        <v>1190</v>
      </c>
      <c r="D12225" s="4" t="n">
        <v>359.975</v>
      </c>
      <c r="E12225" s="5" t="n">
        <v>30.6</v>
      </c>
      <c r="F12225" s="3" t="inlineStr">
        <is>
          <t>남이면</t>
        </is>
      </c>
      <c r="G12225" s="3" t="inlineStr">
        <is>
          <t>수대리</t>
        </is>
      </c>
      <c r="H12225" s="3" t="inlineStr">
        <is>
          <t>보전녹지지역</t>
        </is>
      </c>
      <c r="I12225" s="3" t="inlineStr">
        <is>
          <t>전</t>
        </is>
      </c>
      <c r="J12225" s="3" t="inlineStr">
        <is>
          <t>남이면</t>
        </is>
      </c>
    </row>
    <row r="12226">
      <c r="A12226" s="3" t="n">
        <v>2025</v>
      </c>
      <c r="B12226" s="4" t="n">
        <v>8500</v>
      </c>
      <c r="C12226" s="4" t="n">
        <v>873</v>
      </c>
      <c r="D12226" s="4" t="n">
        <v>264.0825</v>
      </c>
      <c r="E12226" s="5" t="n">
        <v>32.2</v>
      </c>
      <c r="F12226" s="3" t="inlineStr">
        <is>
          <t>남이면</t>
        </is>
      </c>
      <c r="G12226" s="3" t="inlineStr">
        <is>
          <t>수대리</t>
        </is>
      </c>
      <c r="H12226" s="3" t="inlineStr">
        <is>
          <t>자연녹지지역</t>
        </is>
      </c>
      <c r="I12226" s="3" t="inlineStr">
        <is>
          <t>전</t>
        </is>
      </c>
      <c r="J12226" s="3" t="inlineStr">
        <is>
          <t>남이면</t>
        </is>
      </c>
    </row>
    <row r="12227">
      <c r="A12227" s="3" t="n">
        <v>2025</v>
      </c>
      <c r="B12227" s="4" t="n">
        <v>10991</v>
      </c>
      <c r="C12227" s="4" t="n">
        <v>237</v>
      </c>
      <c r="D12227" s="4" t="n">
        <v>71.6925</v>
      </c>
      <c r="E12227" s="5" t="n">
        <v>153.3</v>
      </c>
      <c r="F12227" s="3" t="inlineStr">
        <is>
          <t>현도면</t>
        </is>
      </c>
      <c r="G12227" s="3" t="inlineStr">
        <is>
          <t>선동리</t>
        </is>
      </c>
      <c r="H12227" s="3" t="inlineStr">
        <is>
          <t>용도미지정</t>
        </is>
      </c>
      <c r="I12227" s="3" t="inlineStr">
        <is>
          <t>대</t>
        </is>
      </c>
      <c r="J12227" s="3" t="inlineStr">
        <is>
          <t>현도면</t>
        </is>
      </c>
    </row>
    <row r="12228">
      <c r="A12228" s="3" t="n">
        <v>2025</v>
      </c>
      <c r="B12228" s="4" t="n">
        <v>2300</v>
      </c>
      <c r="C12228" s="4" t="n">
        <v>796</v>
      </c>
      <c r="D12228" s="4" t="n">
        <v>240.79</v>
      </c>
      <c r="E12228" s="5" t="n">
        <v>9.6</v>
      </c>
      <c r="F12228" s="3" t="inlineStr">
        <is>
          <t>남이면</t>
        </is>
      </c>
      <c r="G12228" s="3" t="inlineStr">
        <is>
          <t>척산리</t>
        </is>
      </c>
      <c r="H12228" s="3" t="inlineStr">
        <is>
          <t>보전관리지역</t>
        </is>
      </c>
      <c r="I12228" s="3" t="inlineStr">
        <is>
          <t>잡종지</t>
        </is>
      </c>
      <c r="J12228" s="3" t="inlineStr">
        <is>
          <t>남이면</t>
        </is>
      </c>
    </row>
    <row r="12229">
      <c r="A12229" s="3" t="n">
        <v>2024</v>
      </c>
      <c r="B12229" s="4" t="n">
        <v>3672</v>
      </c>
      <c r="C12229" s="4" t="n">
        <v>51</v>
      </c>
      <c r="D12229" s="4" t="n">
        <v>15.4275</v>
      </c>
      <c r="E12229" s="5" t="n">
        <v>238</v>
      </c>
      <c r="F12229" s="3" t="inlineStr">
        <is>
          <t>남이면</t>
        </is>
      </c>
      <c r="G12229" s="3" t="inlineStr">
        <is>
          <t>척산리</t>
        </is>
      </c>
      <c r="H12229" s="3" t="inlineStr">
        <is>
          <t>계획관리지역</t>
        </is>
      </c>
      <c r="I12229" s="3" t="inlineStr">
        <is>
          <t>대</t>
        </is>
      </c>
      <c r="J12229" s="3" t="inlineStr">
        <is>
          <t>남이면</t>
        </is>
      </c>
    </row>
    <row r="12230">
      <c r="A12230" s="3" t="n">
        <v>2024</v>
      </c>
      <c r="B12230" s="4" t="n">
        <v>50000</v>
      </c>
      <c r="C12230" s="4" t="n">
        <v>2223</v>
      </c>
      <c r="D12230" s="4" t="n">
        <v>672.4575</v>
      </c>
      <c r="E12230" s="5" t="n">
        <v>74.40000000000001</v>
      </c>
      <c r="F12230" s="3" t="inlineStr">
        <is>
          <t>남이면</t>
        </is>
      </c>
      <c r="G12230" s="3" t="inlineStr">
        <is>
          <t>척산리</t>
        </is>
      </c>
      <c r="H12230" s="3" t="inlineStr">
        <is>
          <t>생산관리지역</t>
        </is>
      </c>
      <c r="I12230" s="3" t="inlineStr">
        <is>
          <t>답</t>
        </is>
      </c>
      <c r="J12230" s="3" t="inlineStr">
        <is>
          <t>남이면</t>
        </is>
      </c>
    </row>
    <row r="12231">
      <c r="A12231" s="3" t="n">
        <v>2024</v>
      </c>
      <c r="B12231" s="4" t="n">
        <v>3672</v>
      </c>
      <c r="C12231" s="4" t="n">
        <v>51</v>
      </c>
      <c r="D12231" s="4" t="n">
        <v>15.4275</v>
      </c>
      <c r="E12231" s="5" t="n">
        <v>238</v>
      </c>
      <c r="F12231" s="3" t="inlineStr">
        <is>
          <t>남이면</t>
        </is>
      </c>
      <c r="G12231" s="3" t="inlineStr">
        <is>
          <t>척산리</t>
        </is>
      </c>
      <c r="H12231" s="3" t="inlineStr">
        <is>
          <t>계획관리지역</t>
        </is>
      </c>
      <c r="I12231" s="3" t="inlineStr">
        <is>
          <t>대</t>
        </is>
      </c>
      <c r="J12231" s="3" t="inlineStr">
        <is>
          <t>남이면</t>
        </is>
      </c>
    </row>
    <row r="12232">
      <c r="A12232" s="3" t="n">
        <v>2024</v>
      </c>
      <c r="B12232" s="4" t="n">
        <v>690</v>
      </c>
      <c r="C12232" s="4" t="n">
        <v>20</v>
      </c>
      <c r="D12232" s="4" t="n">
        <v>6.05</v>
      </c>
      <c r="E12232" s="5" t="n">
        <v>114</v>
      </c>
      <c r="F12232" s="3" t="inlineStr">
        <is>
          <t>남이면</t>
        </is>
      </c>
      <c r="G12232" s="3" t="inlineStr">
        <is>
          <t>외천리</t>
        </is>
      </c>
      <c r="H12232" s="3" t="inlineStr">
        <is>
          <t>계획관리지역</t>
        </is>
      </c>
      <c r="I12232" s="3" t="inlineStr">
        <is>
          <t>임야</t>
        </is>
      </c>
      <c r="J12232" s="3" t="inlineStr">
        <is>
          <t>남이면</t>
        </is>
      </c>
    </row>
    <row r="12233">
      <c r="A12233" s="3" t="n">
        <v>2024</v>
      </c>
      <c r="B12233" s="4" t="n">
        <v>1368</v>
      </c>
      <c r="C12233" s="4" t="n">
        <v>191</v>
      </c>
      <c r="D12233" s="4" t="n">
        <v>57.7775</v>
      </c>
      <c r="E12233" s="5" t="n">
        <v>23.7</v>
      </c>
      <c r="F12233" s="3" t="inlineStr">
        <is>
          <t>남이면</t>
        </is>
      </c>
      <c r="G12233" s="3" t="inlineStr">
        <is>
          <t>산막리</t>
        </is>
      </c>
      <c r="H12233" s="3" t="inlineStr">
        <is>
          <t>계획관리지역</t>
        </is>
      </c>
      <c r="I12233" s="3" t="inlineStr">
        <is>
          <t>전</t>
        </is>
      </c>
      <c r="J12233" s="3" t="inlineStr">
        <is>
          <t>남이면</t>
        </is>
      </c>
    </row>
    <row r="12234">
      <c r="A12234" s="3" t="n">
        <v>2024</v>
      </c>
      <c r="B12234" s="4" t="n">
        <v>14000</v>
      </c>
      <c r="C12234" s="4" t="n">
        <v>462</v>
      </c>
      <c r="D12234" s="4" t="n">
        <v>139.755</v>
      </c>
      <c r="E12234" s="5" t="n">
        <v>100.2</v>
      </c>
      <c r="F12234" s="3" t="inlineStr">
        <is>
          <t>남이면</t>
        </is>
      </c>
      <c r="G12234" s="3" t="inlineStr">
        <is>
          <t>가마리</t>
        </is>
      </c>
      <c r="H12234" s="3" t="inlineStr">
        <is>
          <t>자연녹지지역</t>
        </is>
      </c>
      <c r="I12234" s="3" t="inlineStr">
        <is>
          <t>전</t>
        </is>
      </c>
      <c r="J12234" s="3" t="inlineStr">
        <is>
          <t>남이면</t>
        </is>
      </c>
    </row>
    <row r="12235">
      <c r="A12235" s="3" t="n">
        <v>2024</v>
      </c>
      <c r="B12235" s="4" t="n">
        <v>16700</v>
      </c>
      <c r="C12235" s="4" t="n">
        <v>1071</v>
      </c>
      <c r="D12235" s="4" t="n">
        <v>323.9775</v>
      </c>
      <c r="E12235" s="5" t="n">
        <v>51.5</v>
      </c>
      <c r="F12235" s="3" t="inlineStr">
        <is>
          <t>현도면</t>
        </is>
      </c>
      <c r="G12235" s="3" t="inlineStr">
        <is>
          <t>중삼리</t>
        </is>
      </c>
      <c r="H12235" s="3" t="inlineStr">
        <is>
          <t>계획관리지역</t>
        </is>
      </c>
      <c r="I12235" s="3" t="inlineStr">
        <is>
          <t>전</t>
        </is>
      </c>
      <c r="J12235" s="3" t="inlineStr">
        <is>
          <t>현도면</t>
        </is>
      </c>
    </row>
    <row r="12236">
      <c r="A12236" s="3" t="n">
        <v>2024</v>
      </c>
      <c r="B12236" s="4" t="n">
        <v>50</v>
      </c>
      <c r="C12236" s="4" t="n">
        <v>5</v>
      </c>
      <c r="D12236" s="4" t="n">
        <v>1.5125</v>
      </c>
      <c r="E12236" s="5" t="n">
        <v>33.1</v>
      </c>
      <c r="F12236" s="3" t="inlineStr">
        <is>
          <t>현도면</t>
        </is>
      </c>
      <c r="G12236" s="3" t="inlineStr">
        <is>
          <t>우록리</t>
        </is>
      </c>
      <c r="H12236" s="3" t="inlineStr">
        <is>
          <t>계획관리지역</t>
        </is>
      </c>
      <c r="I12236" s="3" t="inlineStr">
        <is>
          <t>대</t>
        </is>
      </c>
      <c r="J12236" s="3" t="inlineStr">
        <is>
          <t>현도면</t>
        </is>
      </c>
    </row>
    <row r="12237">
      <c r="A12237" s="3" t="n">
        <v>2024</v>
      </c>
      <c r="B12237" s="4" t="n">
        <v>200</v>
      </c>
      <c r="C12237" s="4" t="n">
        <v>20</v>
      </c>
      <c r="D12237" s="4" t="n">
        <v>6.05</v>
      </c>
      <c r="E12237" s="5" t="n">
        <v>33.1</v>
      </c>
      <c r="F12237" s="3" t="inlineStr">
        <is>
          <t>현도면</t>
        </is>
      </c>
      <c r="G12237" s="3" t="inlineStr">
        <is>
          <t>우록리</t>
        </is>
      </c>
      <c r="H12237" s="3" t="inlineStr">
        <is>
          <t>계획관리지역</t>
        </is>
      </c>
      <c r="I12237" s="3" t="inlineStr">
        <is>
          <t>대</t>
        </is>
      </c>
      <c r="J12237" s="3" t="inlineStr">
        <is>
          <t>현도면</t>
        </is>
      </c>
    </row>
    <row r="12238">
      <c r="A12238" s="3" t="n">
        <v>2024</v>
      </c>
      <c r="B12238" s="4" t="n">
        <v>150</v>
      </c>
      <c r="C12238" s="4" t="n">
        <v>15</v>
      </c>
      <c r="D12238" s="4" t="n">
        <v>4.5375</v>
      </c>
      <c r="E12238" s="5" t="n">
        <v>33.1</v>
      </c>
      <c r="F12238" s="3" t="inlineStr">
        <is>
          <t>현도면</t>
        </is>
      </c>
      <c r="G12238" s="3" t="inlineStr">
        <is>
          <t>우록리</t>
        </is>
      </c>
      <c r="H12238" s="3" t="inlineStr">
        <is>
          <t>계획관리지역</t>
        </is>
      </c>
      <c r="I12238" s="3" t="inlineStr">
        <is>
          <t>대</t>
        </is>
      </c>
      <c r="J12238" s="3" t="inlineStr">
        <is>
          <t>현도면</t>
        </is>
      </c>
    </row>
    <row r="12239">
      <c r="A12239" s="3" t="n">
        <v>2024</v>
      </c>
      <c r="B12239" s="4" t="n">
        <v>400</v>
      </c>
      <c r="C12239" s="4" t="n">
        <v>40</v>
      </c>
      <c r="D12239" s="4" t="n">
        <v>12.1</v>
      </c>
      <c r="E12239" s="5" t="n">
        <v>33.1</v>
      </c>
      <c r="F12239" s="3" t="inlineStr">
        <is>
          <t>현도면</t>
        </is>
      </c>
      <c r="G12239" s="3" t="inlineStr">
        <is>
          <t>우록리</t>
        </is>
      </c>
      <c r="H12239" s="3" t="inlineStr">
        <is>
          <t>계획관리지역</t>
        </is>
      </c>
      <c r="I12239" s="3" t="inlineStr">
        <is>
          <t>대</t>
        </is>
      </c>
      <c r="J12239" s="3" t="inlineStr">
        <is>
          <t>현도면</t>
        </is>
      </c>
    </row>
    <row r="12240">
      <c r="A12240" s="3" t="n">
        <v>2024</v>
      </c>
      <c r="B12240" s="4" t="n">
        <v>4375</v>
      </c>
      <c r="C12240" s="4" t="n">
        <v>578</v>
      </c>
      <c r="D12240" s="4" t="n">
        <v>174.845</v>
      </c>
      <c r="E12240" s="5" t="n">
        <v>25</v>
      </c>
      <c r="F12240" s="3" t="inlineStr">
        <is>
          <t>현도면</t>
        </is>
      </c>
      <c r="G12240" s="3" t="inlineStr">
        <is>
          <t>우록리</t>
        </is>
      </c>
      <c r="H12240" s="3" t="inlineStr">
        <is>
          <t>농림지역</t>
        </is>
      </c>
      <c r="I12240" s="3" t="inlineStr">
        <is>
          <t>답</t>
        </is>
      </c>
      <c r="J12240" s="3" t="inlineStr">
        <is>
          <t>현도면</t>
        </is>
      </c>
    </row>
    <row r="12241">
      <c r="A12241" s="3" t="n">
        <v>2024</v>
      </c>
      <c r="B12241" s="4" t="n">
        <v>17340</v>
      </c>
      <c r="C12241" s="4" t="n">
        <v>6744</v>
      </c>
      <c r="D12241" s="4" t="n">
        <v>2040.06</v>
      </c>
      <c r="E12241" s="5" t="n">
        <v>8.5</v>
      </c>
      <c r="F12241" s="3" t="inlineStr">
        <is>
          <t>현도면</t>
        </is>
      </c>
      <c r="G12241" s="3" t="inlineStr">
        <is>
          <t>죽암리</t>
        </is>
      </c>
      <c r="H12241" s="3" t="inlineStr">
        <is>
          <t>농림지역</t>
        </is>
      </c>
      <c r="I12241" s="3" t="inlineStr">
        <is>
          <t>임야</t>
        </is>
      </c>
      <c r="J12241" s="3" t="inlineStr">
        <is>
          <t>현도면</t>
        </is>
      </c>
    </row>
    <row r="12242">
      <c r="A12242" s="3" t="n">
        <v>2024</v>
      </c>
      <c r="B12242" s="4" t="n">
        <v>13000</v>
      </c>
      <c r="C12242" s="4" t="n">
        <v>777</v>
      </c>
      <c r="D12242" s="4" t="n">
        <v>235.0425</v>
      </c>
      <c r="E12242" s="5" t="n">
        <v>55.3</v>
      </c>
      <c r="F12242" s="3" t="inlineStr">
        <is>
          <t>남이면</t>
        </is>
      </c>
      <c r="G12242" s="3" t="inlineStr">
        <is>
          <t>척산리</t>
        </is>
      </c>
      <c r="H12242" s="3" t="inlineStr">
        <is>
          <t>계획관리지역</t>
        </is>
      </c>
      <c r="I12242" s="3" t="inlineStr">
        <is>
          <t>전</t>
        </is>
      </c>
      <c r="J12242" s="3" t="inlineStr">
        <is>
          <t>남이면</t>
        </is>
      </c>
    </row>
    <row r="12243">
      <c r="A12243" s="3" t="n">
        <v>2024</v>
      </c>
      <c r="B12243" s="4" t="n">
        <v>5780</v>
      </c>
      <c r="C12243" s="4" t="n">
        <v>113</v>
      </c>
      <c r="D12243" s="4" t="n">
        <v>34.1825</v>
      </c>
      <c r="E12243" s="5" t="n">
        <v>169.1</v>
      </c>
      <c r="F12243" s="3" t="inlineStr">
        <is>
          <t>남이면</t>
        </is>
      </c>
      <c r="G12243" s="3" t="inlineStr">
        <is>
          <t>부용외천리</t>
        </is>
      </c>
      <c r="H12243" s="3" t="inlineStr">
        <is>
          <t>계획관리지역</t>
        </is>
      </c>
      <c r="I12243" s="3" t="inlineStr">
        <is>
          <t>도로</t>
        </is>
      </c>
      <c r="J12243" s="3" t="inlineStr">
        <is>
          <t>남이면</t>
        </is>
      </c>
    </row>
    <row r="12244">
      <c r="A12244" s="3" t="n">
        <v>2025</v>
      </c>
      <c r="B12244" s="4" t="n">
        <v>7910</v>
      </c>
      <c r="C12244" s="4" t="n">
        <v>856</v>
      </c>
      <c r="D12244" s="4" t="n">
        <v>258.94</v>
      </c>
      <c r="E12244" s="5" t="n">
        <v>30.5</v>
      </c>
      <c r="F12244" s="3" t="inlineStr">
        <is>
          <t>남이면</t>
        </is>
      </c>
      <c r="G12244" s="3" t="inlineStr">
        <is>
          <t>부용외천리</t>
        </is>
      </c>
      <c r="H12244" s="3" t="inlineStr">
        <is>
          <t>생산관리지역</t>
        </is>
      </c>
      <c r="I12244" s="3" t="inlineStr">
        <is>
          <t>답</t>
        </is>
      </c>
      <c r="J12244" s="3" t="inlineStr">
        <is>
          <t>남이면</t>
        </is>
      </c>
    </row>
    <row r="12245">
      <c r="A12245" s="3" t="n">
        <v>2025</v>
      </c>
      <c r="B12245" s="4" t="n">
        <v>2090</v>
      </c>
      <c r="C12245" s="4" t="n">
        <v>226</v>
      </c>
      <c r="D12245" s="4" t="n">
        <v>68.36499999999999</v>
      </c>
      <c r="E12245" s="5" t="n">
        <v>30.6</v>
      </c>
      <c r="F12245" s="3" t="inlineStr">
        <is>
          <t>남이면</t>
        </is>
      </c>
      <c r="G12245" s="3" t="inlineStr">
        <is>
          <t>부용외천리</t>
        </is>
      </c>
      <c r="H12245" s="3" t="inlineStr">
        <is>
          <t>생산관리지역</t>
        </is>
      </c>
      <c r="I12245" s="3" t="inlineStr">
        <is>
          <t>답</t>
        </is>
      </c>
      <c r="J12245" s="3" t="inlineStr">
        <is>
          <t>남이면</t>
        </is>
      </c>
    </row>
    <row r="12246">
      <c r="A12246" s="3" t="n">
        <v>2025</v>
      </c>
      <c r="B12246" s="4" t="n">
        <v>13800</v>
      </c>
      <c r="C12246" s="4" t="n">
        <v>2281</v>
      </c>
      <c r="D12246" s="4" t="n">
        <v>690.0024999999999</v>
      </c>
      <c r="E12246" s="5" t="n">
        <v>20</v>
      </c>
      <c r="F12246" s="3" t="inlineStr">
        <is>
          <t>현도면</t>
        </is>
      </c>
      <c r="G12246" s="3" t="inlineStr">
        <is>
          <t>하석리</t>
        </is>
      </c>
      <c r="H12246" s="3" t="inlineStr">
        <is>
          <t>자연녹지지역</t>
        </is>
      </c>
      <c r="I12246" s="3" t="inlineStr">
        <is>
          <t>전</t>
        </is>
      </c>
      <c r="J12246" s="3" t="inlineStr">
        <is>
          <t>현도면</t>
        </is>
      </c>
    </row>
    <row r="12247">
      <c r="A12247" s="3" t="n">
        <v>2025</v>
      </c>
      <c r="B12247" s="4" t="n">
        <v>2200</v>
      </c>
      <c r="C12247" s="4" t="n">
        <v>734</v>
      </c>
      <c r="D12247" s="4" t="n">
        <v>222.035</v>
      </c>
      <c r="E12247" s="5" t="n">
        <v>9.9</v>
      </c>
      <c r="F12247" s="3" t="inlineStr">
        <is>
          <t>남이면</t>
        </is>
      </c>
      <c r="G12247" s="3" t="inlineStr">
        <is>
          <t>척북리</t>
        </is>
      </c>
      <c r="H12247" s="3" t="inlineStr">
        <is>
          <t>보전녹지지역</t>
        </is>
      </c>
      <c r="I12247" s="3" t="inlineStr">
        <is>
          <t>답</t>
        </is>
      </c>
      <c r="J12247" s="3" t="inlineStr">
        <is>
          <t>남이면</t>
        </is>
      </c>
    </row>
    <row r="12248">
      <c r="A12248" s="3" t="n">
        <v>2025</v>
      </c>
      <c r="B12248" s="4" t="n">
        <v>65000</v>
      </c>
      <c r="C12248" s="4" t="n">
        <v>7036</v>
      </c>
      <c r="D12248" s="4" t="n">
        <v>2128.39</v>
      </c>
      <c r="E12248" s="5" t="n">
        <v>30.5</v>
      </c>
      <c r="F12248" s="3" t="inlineStr">
        <is>
          <t>남이면</t>
        </is>
      </c>
      <c r="G12248" s="3" t="inlineStr">
        <is>
          <t>구암리</t>
        </is>
      </c>
      <c r="H12248" s="3" t="inlineStr">
        <is>
          <t>보전녹지지역</t>
        </is>
      </c>
      <c r="I12248" s="3" t="inlineStr">
        <is>
          <t>임야</t>
        </is>
      </c>
      <c r="J12248" s="3" t="inlineStr">
        <is>
          <t>남이면</t>
        </is>
      </c>
    </row>
    <row r="12249">
      <c r="A12249" s="3" t="n">
        <v>2025</v>
      </c>
      <c r="B12249" s="4" t="n">
        <v>3155</v>
      </c>
      <c r="C12249" s="4" t="n">
        <v>66</v>
      </c>
      <c r="D12249" s="4" t="n">
        <v>19.965</v>
      </c>
      <c r="E12249" s="5" t="n">
        <v>158</v>
      </c>
      <c r="F12249" s="3" t="inlineStr">
        <is>
          <t>남이면</t>
        </is>
      </c>
      <c r="G12249" s="3" t="inlineStr">
        <is>
          <t>양촌리</t>
        </is>
      </c>
      <c r="H12249" s="3" t="inlineStr">
        <is>
          <t>자연녹지지역</t>
        </is>
      </c>
      <c r="I12249" s="3" t="inlineStr">
        <is>
          <t>잡종지</t>
        </is>
      </c>
      <c r="J12249" s="3" t="inlineStr">
        <is>
          <t>남이면</t>
        </is>
      </c>
    </row>
    <row r="12250">
      <c r="A12250" s="3" t="n">
        <v>2025</v>
      </c>
      <c r="B12250" s="4" t="n">
        <v>3410</v>
      </c>
      <c r="C12250" s="4" t="n">
        <v>575</v>
      </c>
      <c r="D12250" s="4" t="n">
        <v>173.9375</v>
      </c>
      <c r="E12250" s="5" t="n">
        <v>19.6</v>
      </c>
      <c r="F12250" s="3" t="inlineStr">
        <is>
          <t>남이면</t>
        </is>
      </c>
      <c r="G12250" s="3" t="inlineStr">
        <is>
          <t>부용외천리</t>
        </is>
      </c>
      <c r="H12250" s="3" t="inlineStr">
        <is>
          <t>생산관리지역</t>
        </is>
      </c>
      <c r="I12250" s="3" t="inlineStr">
        <is>
          <t>답</t>
        </is>
      </c>
      <c r="J12250" s="3" t="inlineStr">
        <is>
          <t>남이면</t>
        </is>
      </c>
    </row>
    <row r="12251">
      <c r="A12251" s="3" t="n">
        <v>2025</v>
      </c>
      <c r="B12251" s="4" t="n">
        <v>9350</v>
      </c>
      <c r="C12251" s="4" t="n">
        <v>1031</v>
      </c>
      <c r="D12251" s="4" t="n">
        <v>311.8775</v>
      </c>
      <c r="E12251" s="5" t="n">
        <v>30</v>
      </c>
      <c r="F12251" s="3" t="inlineStr">
        <is>
          <t>남이면</t>
        </is>
      </c>
      <c r="G12251" s="3" t="inlineStr">
        <is>
          <t>부용외천리</t>
        </is>
      </c>
      <c r="H12251" s="3" t="inlineStr">
        <is>
          <t>생산관리지역</t>
        </is>
      </c>
      <c r="I12251" s="3" t="inlineStr">
        <is>
          <t>답</t>
        </is>
      </c>
      <c r="J12251" s="3" t="inlineStr">
        <is>
          <t>남이면</t>
        </is>
      </c>
    </row>
    <row r="12252">
      <c r="A12252" s="3" t="n">
        <v>2025</v>
      </c>
      <c r="B12252" s="4" t="n">
        <v>4364</v>
      </c>
      <c r="C12252" s="4" t="n">
        <v>240</v>
      </c>
      <c r="D12252" s="4" t="n">
        <v>72.59999999999999</v>
      </c>
      <c r="E12252" s="5" t="n">
        <v>60.1</v>
      </c>
      <c r="F12252" s="3" t="inlineStr">
        <is>
          <t>남이면</t>
        </is>
      </c>
      <c r="G12252" s="3" t="inlineStr">
        <is>
          <t>가좌리</t>
        </is>
      </c>
      <c r="H12252" s="3" t="inlineStr">
        <is>
          <t>자연녹지지역</t>
        </is>
      </c>
      <c r="I12252" s="3" t="inlineStr">
        <is>
          <t>임야</t>
        </is>
      </c>
      <c r="J12252" s="3" t="inlineStr">
        <is>
          <t>남이면</t>
        </is>
      </c>
    </row>
    <row r="12253">
      <c r="A12253" s="3" t="n">
        <v>2025</v>
      </c>
      <c r="B12253" s="4" t="n">
        <v>854</v>
      </c>
      <c r="C12253" s="4" t="n">
        <v>47</v>
      </c>
      <c r="D12253" s="4" t="n">
        <v>14.2175</v>
      </c>
      <c r="E12253" s="5" t="n">
        <v>60.1</v>
      </c>
      <c r="F12253" s="3" t="inlineStr">
        <is>
          <t>남이면</t>
        </is>
      </c>
      <c r="G12253" s="3" t="inlineStr">
        <is>
          <t>가좌리</t>
        </is>
      </c>
      <c r="H12253" s="3" t="inlineStr">
        <is>
          <t>자연녹지지역</t>
        </is>
      </c>
      <c r="I12253" s="3" t="inlineStr">
        <is>
          <t>임야</t>
        </is>
      </c>
      <c r="J12253" s="3" t="inlineStr">
        <is>
          <t>남이면</t>
        </is>
      </c>
    </row>
    <row r="12254">
      <c r="A12254" s="3" t="n">
        <v>2025</v>
      </c>
      <c r="B12254" s="4" t="n">
        <v>1540</v>
      </c>
      <c r="C12254" s="4" t="n">
        <v>170</v>
      </c>
      <c r="D12254" s="4" t="n">
        <v>51.425</v>
      </c>
      <c r="E12254" s="5" t="n">
        <v>29.9</v>
      </c>
      <c r="F12254" s="3" t="inlineStr">
        <is>
          <t>남이면</t>
        </is>
      </c>
      <c r="G12254" s="3" t="inlineStr">
        <is>
          <t>부용외천리</t>
        </is>
      </c>
      <c r="H12254" s="3" t="inlineStr">
        <is>
          <t>생산관리지역</t>
        </is>
      </c>
      <c r="I12254" s="3" t="inlineStr">
        <is>
          <t>답</t>
        </is>
      </c>
      <c r="J12254" s="3" t="inlineStr">
        <is>
          <t>남이면</t>
        </is>
      </c>
    </row>
    <row r="12255">
      <c r="A12255" s="3" t="n">
        <v>2025</v>
      </c>
      <c r="B12255" s="4" t="n">
        <v>67000</v>
      </c>
      <c r="C12255" s="4" t="n">
        <v>1934</v>
      </c>
      <c r="D12255" s="4" t="n">
        <v>585.035</v>
      </c>
      <c r="E12255" s="5" t="n">
        <v>114.5</v>
      </c>
      <c r="F12255" s="3" t="inlineStr">
        <is>
          <t>현도면</t>
        </is>
      </c>
      <c r="G12255" s="3" t="inlineStr">
        <is>
          <t>상삼리</t>
        </is>
      </c>
      <c r="H12255" s="3" t="inlineStr">
        <is>
          <t>계획관리지역</t>
        </is>
      </c>
      <c r="I12255" s="3" t="inlineStr">
        <is>
          <t>답</t>
        </is>
      </c>
      <c r="J12255" s="3" t="inlineStr">
        <is>
          <t>현도면</t>
        </is>
      </c>
    </row>
    <row r="12256">
      <c r="A12256" s="3" t="n">
        <v>2025</v>
      </c>
      <c r="B12256" s="4" t="n">
        <v>7900</v>
      </c>
      <c r="C12256" s="4" t="n">
        <v>332</v>
      </c>
      <c r="D12256" s="4" t="n">
        <v>100.43</v>
      </c>
      <c r="E12256" s="5" t="n">
        <v>78.7</v>
      </c>
      <c r="F12256" s="3" t="inlineStr">
        <is>
          <t>남이면</t>
        </is>
      </c>
      <c r="G12256" s="3" t="inlineStr">
        <is>
          <t>가좌리</t>
        </is>
      </c>
      <c r="H12256" s="3" t="inlineStr">
        <is>
          <t>자연녹지지역</t>
        </is>
      </c>
      <c r="I12256" s="3" t="inlineStr">
        <is>
          <t>전</t>
        </is>
      </c>
      <c r="J12256" s="3" t="inlineStr">
        <is>
          <t>남이면</t>
        </is>
      </c>
    </row>
    <row r="12257">
      <c r="A12257" s="3" t="n">
        <v>2025</v>
      </c>
      <c r="B12257" s="4" t="n">
        <v>37000</v>
      </c>
      <c r="C12257" s="4" t="n">
        <v>2467</v>
      </c>
      <c r="D12257" s="4" t="n">
        <v>746.2674999999999</v>
      </c>
      <c r="E12257" s="5" t="n">
        <v>49.6</v>
      </c>
      <c r="F12257" s="3" t="inlineStr">
        <is>
          <t>남이면</t>
        </is>
      </c>
      <c r="G12257" s="3" t="inlineStr">
        <is>
          <t>갈원리</t>
        </is>
      </c>
      <c r="H12257" s="3" t="inlineStr">
        <is>
          <t>농림지역</t>
        </is>
      </c>
      <c r="I12257" s="3" t="inlineStr">
        <is>
          <t>답</t>
        </is>
      </c>
      <c r="J12257" s="3" t="inlineStr">
        <is>
          <t>남이면</t>
        </is>
      </c>
    </row>
    <row r="12258">
      <c r="A12258" s="3" t="n">
        <v>2025</v>
      </c>
      <c r="B12258" s="4" t="n">
        <v>65000</v>
      </c>
      <c r="C12258" s="4" t="n">
        <v>2109.7</v>
      </c>
      <c r="D12258" s="4" t="n">
        <v>638.1842499999999</v>
      </c>
      <c r="E12258" s="5" t="n">
        <v>101.9</v>
      </c>
      <c r="F12258" s="3" t="inlineStr">
        <is>
          <t>남이면</t>
        </is>
      </c>
      <c r="G12258" s="3" t="inlineStr">
        <is>
          <t>가좌리</t>
        </is>
      </c>
      <c r="H12258" s="3" t="inlineStr">
        <is>
          <t>자연녹지지역</t>
        </is>
      </c>
      <c r="I12258" s="3" t="inlineStr">
        <is>
          <t>공장용지</t>
        </is>
      </c>
      <c r="J12258" s="3" t="inlineStr">
        <is>
          <t>남이면</t>
        </is>
      </c>
    </row>
    <row r="12259">
      <c r="A12259" s="3" t="n">
        <v>2025</v>
      </c>
      <c r="B12259" s="4" t="n">
        <v>1900</v>
      </c>
      <c r="C12259" s="4" t="n">
        <v>80</v>
      </c>
      <c r="D12259" s="4" t="n">
        <v>24.2</v>
      </c>
      <c r="E12259" s="5" t="n">
        <v>78.5</v>
      </c>
      <c r="F12259" s="3" t="inlineStr">
        <is>
          <t>현도면</t>
        </is>
      </c>
      <c r="G12259" s="3" t="inlineStr">
        <is>
          <t>매봉리</t>
        </is>
      </c>
      <c r="H12259" s="3" t="inlineStr">
        <is>
          <t>자연녹지지역</t>
        </is>
      </c>
      <c r="I12259" s="3" t="inlineStr">
        <is>
          <t>전</t>
        </is>
      </c>
      <c r="J12259" s="3" t="inlineStr">
        <is>
          <t>현도면</t>
        </is>
      </c>
    </row>
    <row r="12260">
      <c r="A12260" s="3" t="n">
        <v>2025</v>
      </c>
      <c r="B12260" s="4" t="n">
        <v>25500</v>
      </c>
      <c r="C12260" s="4" t="n">
        <v>790</v>
      </c>
      <c r="D12260" s="4" t="n">
        <v>238.975</v>
      </c>
      <c r="E12260" s="5" t="n">
        <v>106.7</v>
      </c>
      <c r="F12260" s="3" t="inlineStr">
        <is>
          <t>남이면</t>
        </is>
      </c>
      <c r="G12260" s="3" t="inlineStr">
        <is>
          <t>양촌리</t>
        </is>
      </c>
      <c r="H12260" s="3" t="inlineStr">
        <is>
          <t>자연녹지지역</t>
        </is>
      </c>
      <c r="I12260" s="3" t="inlineStr">
        <is>
          <t>전</t>
        </is>
      </c>
      <c r="J12260" s="3" t="inlineStr">
        <is>
          <t>남이면</t>
        </is>
      </c>
    </row>
    <row r="12261">
      <c r="A12261" s="3" t="n">
        <v>2025</v>
      </c>
      <c r="B12261" s="4" t="n">
        <v>2500</v>
      </c>
      <c r="C12261" s="4" t="n">
        <v>77</v>
      </c>
      <c r="D12261" s="4" t="n">
        <v>23.2925</v>
      </c>
      <c r="E12261" s="5" t="n">
        <v>107.3</v>
      </c>
      <c r="F12261" s="3" t="inlineStr">
        <is>
          <t>남이면</t>
        </is>
      </c>
      <c r="G12261" s="3" t="inlineStr">
        <is>
          <t>양촌리</t>
        </is>
      </c>
      <c r="H12261" s="3" t="inlineStr">
        <is>
          <t>자연녹지지역</t>
        </is>
      </c>
      <c r="I12261" s="3" t="inlineStr">
        <is>
          <t>전</t>
        </is>
      </c>
      <c r="J12261" s="3" t="inlineStr">
        <is>
          <t>남이면</t>
        </is>
      </c>
    </row>
    <row r="12262">
      <c r="A12262" s="3" t="n">
        <v>2025</v>
      </c>
      <c r="B12262" s="4" t="n">
        <v>9800</v>
      </c>
      <c r="C12262" s="4" t="n">
        <v>2575</v>
      </c>
      <c r="D12262" s="4" t="n">
        <v>778.9375</v>
      </c>
      <c r="E12262" s="5" t="n">
        <v>12.6</v>
      </c>
      <c r="F12262" s="3" t="inlineStr">
        <is>
          <t>남이면</t>
        </is>
      </c>
      <c r="G12262" s="3" t="inlineStr">
        <is>
          <t>외천리</t>
        </is>
      </c>
      <c r="H12262" s="3" t="inlineStr">
        <is>
          <t>계획관리지역</t>
        </is>
      </c>
      <c r="I12262" s="3" t="inlineStr">
        <is>
          <t>답</t>
        </is>
      </c>
      <c r="J12262" s="3" t="inlineStr">
        <is>
          <t>남이면</t>
        </is>
      </c>
    </row>
    <row r="12263">
      <c r="A12263" s="3" t="n">
        <v>2025</v>
      </c>
      <c r="B12263" s="4" t="n">
        <v>1200</v>
      </c>
      <c r="C12263" s="4" t="n">
        <v>317</v>
      </c>
      <c r="D12263" s="4" t="n">
        <v>95.8925</v>
      </c>
      <c r="E12263" s="5" t="n">
        <v>12.5</v>
      </c>
      <c r="F12263" s="3" t="inlineStr">
        <is>
          <t>남이면</t>
        </is>
      </c>
      <c r="G12263" s="3" t="inlineStr">
        <is>
          <t>외천리</t>
        </is>
      </c>
      <c r="H12263" s="3" t="inlineStr">
        <is>
          <t>보전관리지역</t>
        </is>
      </c>
      <c r="I12263" s="3" t="inlineStr">
        <is>
          <t>답</t>
        </is>
      </c>
      <c r="J12263" s="3" t="inlineStr">
        <is>
          <t>남이면</t>
        </is>
      </c>
    </row>
    <row r="12264">
      <c r="A12264" s="3" t="n">
        <v>2025</v>
      </c>
      <c r="B12264" s="4" t="n">
        <v>8500</v>
      </c>
      <c r="C12264" s="4" t="n">
        <v>3271</v>
      </c>
      <c r="D12264" s="4" t="n">
        <v>989.4775</v>
      </c>
      <c r="E12264" s="5" t="n">
        <v>8.6</v>
      </c>
      <c r="F12264" s="3" t="inlineStr">
        <is>
          <t>현도면</t>
        </is>
      </c>
      <c r="G12264" s="3" t="inlineStr">
        <is>
          <t>죽전리</t>
        </is>
      </c>
      <c r="H12264" s="3" t="inlineStr">
        <is>
          <t>계획관리지역</t>
        </is>
      </c>
      <c r="I12264" s="3" t="inlineStr">
        <is>
          <t>임야</t>
        </is>
      </c>
      <c r="J12264" s="3" t="inlineStr">
        <is>
          <t>현도면</t>
        </is>
      </c>
    </row>
    <row r="12265">
      <c r="A12265" s="3" t="n">
        <v>2025</v>
      </c>
      <c r="B12265" s="4" t="n">
        <v>4000</v>
      </c>
      <c r="C12265" s="4" t="n">
        <v>103</v>
      </c>
      <c r="D12265" s="4" t="n">
        <v>31.1575</v>
      </c>
      <c r="E12265" s="5" t="n">
        <v>128.4</v>
      </c>
      <c r="F12265" s="3" t="inlineStr">
        <is>
          <t>현도면</t>
        </is>
      </c>
      <c r="G12265" s="3" t="inlineStr">
        <is>
          <t>매봉리</t>
        </is>
      </c>
      <c r="H12265" s="3" t="inlineStr">
        <is>
          <t>제2종일반주거지역</t>
        </is>
      </c>
      <c r="I12265" s="3" t="inlineStr">
        <is>
          <t>제방</t>
        </is>
      </c>
      <c r="J12265" s="3" t="inlineStr">
        <is>
          <t>현도면</t>
        </is>
      </c>
    </row>
    <row r="12266">
      <c r="A12266" s="3" t="n">
        <v>2022</v>
      </c>
      <c r="B12266" s="4" t="n">
        <v>548</v>
      </c>
      <c r="C12266" s="4" t="n">
        <v>17</v>
      </c>
      <c r="D12266" s="4" t="n">
        <v>5.1425</v>
      </c>
      <c r="E12266" s="5" t="n">
        <v>106.6</v>
      </c>
      <c r="F12266" s="3" t="inlineStr">
        <is>
          <t>남이면</t>
        </is>
      </c>
      <c r="G12266" s="3" t="inlineStr">
        <is>
          <t>가좌리</t>
        </is>
      </c>
      <c r="H12266" s="3" t="inlineStr">
        <is>
          <t>자연녹지지역</t>
        </is>
      </c>
      <c r="I12266" s="3" t="inlineStr">
        <is>
          <t>전</t>
        </is>
      </c>
      <c r="J12266" s="3" t="inlineStr">
        <is>
          <t>남이면</t>
        </is>
      </c>
    </row>
    <row r="12267">
      <c r="A12267" s="3" t="n">
        <v>2022</v>
      </c>
      <c r="B12267" s="4" t="n">
        <v>14480</v>
      </c>
      <c r="C12267" s="4" t="n">
        <v>2394</v>
      </c>
      <c r="D12267" s="4" t="n">
        <v>724.1849999999999</v>
      </c>
      <c r="E12267" s="5" t="n">
        <v>20</v>
      </c>
      <c r="F12267" s="3" t="inlineStr">
        <is>
          <t>현도면</t>
        </is>
      </c>
      <c r="G12267" s="3" t="inlineStr">
        <is>
          <t>하석리</t>
        </is>
      </c>
      <c r="H12267" s="3" t="inlineStr">
        <is>
          <t>개발제한구역</t>
        </is>
      </c>
      <c r="I12267" s="3" t="inlineStr">
        <is>
          <t>답</t>
        </is>
      </c>
      <c r="J12267" s="3" t="inlineStr">
        <is>
          <t>현도면</t>
        </is>
      </c>
    </row>
    <row r="12268">
      <c r="A12268" s="3" t="n">
        <v>2022</v>
      </c>
      <c r="B12268" s="4" t="n">
        <v>4100</v>
      </c>
      <c r="C12268" s="4" t="n">
        <v>1004</v>
      </c>
      <c r="D12268" s="4" t="n">
        <v>303.71</v>
      </c>
      <c r="E12268" s="5" t="n">
        <v>13.5</v>
      </c>
      <c r="F12268" s="3" t="inlineStr">
        <is>
          <t>현도면</t>
        </is>
      </c>
      <c r="G12268" s="3" t="inlineStr">
        <is>
          <t>중척리</t>
        </is>
      </c>
      <c r="H12268" s="3" t="inlineStr">
        <is>
          <t>개발제한구역</t>
        </is>
      </c>
      <c r="I12268" s="3" t="inlineStr">
        <is>
          <t>전</t>
        </is>
      </c>
      <c r="J12268" s="3" t="inlineStr">
        <is>
          <t>현도면</t>
        </is>
      </c>
    </row>
    <row r="12269">
      <c r="A12269" s="3" t="n">
        <v>2022</v>
      </c>
      <c r="B12269" s="4" t="n">
        <v>4000</v>
      </c>
      <c r="C12269" s="4" t="n">
        <v>927</v>
      </c>
      <c r="D12269" s="4" t="n">
        <v>280.4175</v>
      </c>
      <c r="E12269" s="5" t="n">
        <v>14.3</v>
      </c>
      <c r="F12269" s="3" t="inlineStr">
        <is>
          <t>현도면</t>
        </is>
      </c>
      <c r="G12269" s="3" t="inlineStr">
        <is>
          <t>중척리</t>
        </is>
      </c>
      <c r="H12269" s="3" t="inlineStr">
        <is>
          <t>개발제한구역</t>
        </is>
      </c>
      <c r="I12269" s="3" t="inlineStr">
        <is>
          <t>전</t>
        </is>
      </c>
      <c r="J12269" s="3" t="inlineStr">
        <is>
          <t>현도면</t>
        </is>
      </c>
    </row>
    <row r="12270">
      <c r="A12270" s="3" t="n">
        <v>2022</v>
      </c>
      <c r="B12270" s="4" t="n">
        <v>8800</v>
      </c>
      <c r="C12270" s="4" t="n">
        <v>1162</v>
      </c>
      <c r="D12270" s="4" t="n">
        <v>351.505</v>
      </c>
      <c r="E12270" s="5" t="n">
        <v>25</v>
      </c>
      <c r="F12270" s="3" t="inlineStr">
        <is>
          <t>현도면</t>
        </is>
      </c>
      <c r="G12270" s="3" t="inlineStr">
        <is>
          <t>시목리</t>
        </is>
      </c>
      <c r="H12270" s="3" t="inlineStr">
        <is>
          <t>개발제한구역</t>
        </is>
      </c>
      <c r="I12270" s="3" t="inlineStr">
        <is>
          <t>답</t>
        </is>
      </c>
      <c r="J12270" s="3" t="inlineStr">
        <is>
          <t>현도면</t>
        </is>
      </c>
    </row>
    <row r="12271">
      <c r="A12271" s="3" t="n">
        <v>2022</v>
      </c>
      <c r="B12271" s="4" t="n">
        <v>2500</v>
      </c>
      <c r="C12271" s="4" t="n">
        <v>883</v>
      </c>
      <c r="D12271" s="4" t="n">
        <v>267.1075</v>
      </c>
      <c r="E12271" s="5" t="n">
        <v>9.4</v>
      </c>
      <c r="F12271" s="3" t="inlineStr">
        <is>
          <t>현도면</t>
        </is>
      </c>
      <c r="G12271" s="3" t="inlineStr">
        <is>
          <t>시동리</t>
        </is>
      </c>
      <c r="H12271" s="3" t="inlineStr">
        <is>
          <t>개발제한구역</t>
        </is>
      </c>
      <c r="I12271" s="3" t="inlineStr">
        <is>
          <t>전</t>
        </is>
      </c>
      <c r="J12271" s="3" t="inlineStr">
        <is>
          <t>현도면</t>
        </is>
      </c>
    </row>
    <row r="12272">
      <c r="A12272" s="3" t="n">
        <v>2022</v>
      </c>
      <c r="B12272" s="4" t="n">
        <v>2320</v>
      </c>
      <c r="C12272" s="4" t="n">
        <v>385</v>
      </c>
      <c r="D12272" s="4" t="n">
        <v>116.4625</v>
      </c>
      <c r="E12272" s="5" t="n">
        <v>19.9</v>
      </c>
      <c r="F12272" s="3" t="inlineStr">
        <is>
          <t>현도면</t>
        </is>
      </c>
      <c r="G12272" s="3" t="inlineStr">
        <is>
          <t>달계리</t>
        </is>
      </c>
      <c r="H12272" s="3" t="inlineStr">
        <is>
          <t>자연녹지지역</t>
        </is>
      </c>
      <c r="I12272" s="3" t="inlineStr">
        <is>
          <t>전</t>
        </is>
      </c>
      <c r="J12272" s="3" t="inlineStr">
        <is>
          <t>현도면</t>
        </is>
      </c>
    </row>
    <row r="12273">
      <c r="A12273" s="3" t="n">
        <v>2022</v>
      </c>
      <c r="B12273" s="4" t="n">
        <v>23500</v>
      </c>
      <c r="C12273" s="4" t="n">
        <v>869</v>
      </c>
      <c r="D12273" s="4" t="n">
        <v>262.8725</v>
      </c>
      <c r="E12273" s="5" t="n">
        <v>89.40000000000001</v>
      </c>
      <c r="F12273" s="3" t="inlineStr">
        <is>
          <t>남이면</t>
        </is>
      </c>
      <c r="G12273" s="3" t="inlineStr">
        <is>
          <t>석판리</t>
        </is>
      </c>
      <c r="H12273" s="3" t="inlineStr">
        <is>
          <t>자연녹지지역</t>
        </is>
      </c>
      <c r="I12273" s="3" t="inlineStr">
        <is>
          <t>전</t>
        </is>
      </c>
      <c r="J12273" s="3" t="inlineStr">
        <is>
          <t>남이면</t>
        </is>
      </c>
    </row>
    <row r="12274">
      <c r="A12274" s="3" t="n">
        <v>2022</v>
      </c>
      <c r="B12274" s="4" t="n">
        <v>22650</v>
      </c>
      <c r="C12274" s="4" t="n">
        <v>501</v>
      </c>
      <c r="D12274" s="4" t="n">
        <v>151.5525</v>
      </c>
      <c r="E12274" s="5" t="n">
        <v>149.5</v>
      </c>
      <c r="F12274" s="3" t="inlineStr">
        <is>
          <t>남이면</t>
        </is>
      </c>
      <c r="G12274" s="3" t="inlineStr">
        <is>
          <t>석판리</t>
        </is>
      </c>
      <c r="H12274" s="3" t="inlineStr">
        <is>
          <t>자연녹지지역</t>
        </is>
      </c>
      <c r="I12274" s="3" t="inlineStr">
        <is>
          <t>대</t>
        </is>
      </c>
      <c r="J12274" s="3" t="inlineStr">
        <is>
          <t>남이면</t>
        </is>
      </c>
    </row>
    <row r="12275">
      <c r="A12275" s="3" t="n">
        <v>2022</v>
      </c>
      <c r="B12275" s="4" t="n">
        <v>49448</v>
      </c>
      <c r="C12275" s="4" t="n">
        <v>817</v>
      </c>
      <c r="D12275" s="4" t="n">
        <v>247.1425</v>
      </c>
      <c r="E12275" s="5" t="n">
        <v>200.1</v>
      </c>
      <c r="F12275" s="3" t="inlineStr">
        <is>
          <t>남이면</t>
        </is>
      </c>
      <c r="G12275" s="3" t="inlineStr">
        <is>
          <t>양촌리</t>
        </is>
      </c>
      <c r="H12275" s="3" t="inlineStr">
        <is>
          <t>보전녹지지역</t>
        </is>
      </c>
      <c r="I12275" s="3" t="inlineStr">
        <is>
          <t>임야</t>
        </is>
      </c>
      <c r="J12275" s="3" t="inlineStr">
        <is>
          <t>남이면</t>
        </is>
      </c>
    </row>
    <row r="12276">
      <c r="A12276" s="3" t="n">
        <v>2022</v>
      </c>
      <c r="B12276" s="4" t="n">
        <v>49448</v>
      </c>
      <c r="C12276" s="4" t="n">
        <v>817</v>
      </c>
      <c r="D12276" s="4" t="n">
        <v>247.1425</v>
      </c>
      <c r="E12276" s="5" t="n">
        <v>200.1</v>
      </c>
      <c r="F12276" s="3" t="inlineStr">
        <is>
          <t>남이면</t>
        </is>
      </c>
      <c r="G12276" s="3" t="inlineStr">
        <is>
          <t>양촌리</t>
        </is>
      </c>
      <c r="H12276" s="3" t="inlineStr">
        <is>
          <t>보전녹지지역</t>
        </is>
      </c>
      <c r="I12276" s="3" t="inlineStr">
        <is>
          <t>임야</t>
        </is>
      </c>
      <c r="J12276" s="3" t="inlineStr">
        <is>
          <t>남이면</t>
        </is>
      </c>
    </row>
    <row r="12277">
      <c r="A12277" s="3" t="n">
        <v>2026</v>
      </c>
      <c r="B12277" s="4" t="n">
        <v>7500</v>
      </c>
      <c r="C12277" s="4" t="n">
        <v>605</v>
      </c>
      <c r="D12277" s="4" t="n">
        <v>183.0125</v>
      </c>
      <c r="E12277" s="5" t="n">
        <v>41</v>
      </c>
      <c r="F12277" s="3" t="inlineStr">
        <is>
          <t>남이면</t>
        </is>
      </c>
      <c r="G12277" s="3" t="inlineStr">
        <is>
          <t>팔봉리</t>
        </is>
      </c>
      <c r="H12277" s="3" t="inlineStr">
        <is>
          <t>보전관리지역</t>
        </is>
      </c>
      <c r="I12277" s="3" t="inlineStr">
        <is>
          <t>대</t>
        </is>
      </c>
      <c r="J12277" s="3" t="inlineStr">
        <is>
          <t>남이면</t>
        </is>
      </c>
    </row>
    <row r="12278">
      <c r="A12278" s="3" t="n">
        <v>2026</v>
      </c>
      <c r="B12278" s="4" t="n">
        <v>53453</v>
      </c>
      <c r="C12278" s="4" t="n">
        <v>3962</v>
      </c>
      <c r="D12278" s="4" t="n">
        <v>1198.505</v>
      </c>
      <c r="E12278" s="5" t="n">
        <v>44.6</v>
      </c>
      <c r="F12278" s="3" t="inlineStr">
        <is>
          <t>남이면</t>
        </is>
      </c>
      <c r="G12278" s="3" t="inlineStr">
        <is>
          <t>척산리</t>
        </is>
      </c>
      <c r="H12278" s="3" t="inlineStr">
        <is>
          <t>계획관리지역</t>
        </is>
      </c>
      <c r="I12278" s="3" t="inlineStr">
        <is>
          <t>임야</t>
        </is>
      </c>
      <c r="J12278" s="3" t="inlineStr">
        <is>
          <t>남이면</t>
        </is>
      </c>
    </row>
    <row r="12279">
      <c r="A12279" s="3" t="n">
        <v>2026</v>
      </c>
      <c r="B12279" s="4" t="n">
        <v>1889</v>
      </c>
      <c r="C12279" s="4" t="n">
        <v>140</v>
      </c>
      <c r="D12279" s="4" t="n">
        <v>42.35</v>
      </c>
      <c r="E12279" s="5" t="n">
        <v>44.6</v>
      </c>
      <c r="F12279" s="3" t="inlineStr">
        <is>
          <t>남이면</t>
        </is>
      </c>
      <c r="G12279" s="3" t="inlineStr">
        <is>
          <t>척산리</t>
        </is>
      </c>
      <c r="H12279" s="3" t="inlineStr">
        <is>
          <t>계획관리지역</t>
        </is>
      </c>
      <c r="I12279" s="3" t="inlineStr">
        <is>
          <t>임야</t>
        </is>
      </c>
      <c r="J12279" s="3" t="inlineStr">
        <is>
          <t>남이면</t>
        </is>
      </c>
    </row>
    <row r="12280">
      <c r="A12280" s="3" t="n">
        <v>2026</v>
      </c>
      <c r="B12280" s="4" t="n">
        <v>5397</v>
      </c>
      <c r="C12280" s="4" t="n">
        <v>400</v>
      </c>
      <c r="D12280" s="4" t="n">
        <v>121</v>
      </c>
      <c r="E12280" s="5" t="n">
        <v>44.6</v>
      </c>
      <c r="F12280" s="3" t="inlineStr">
        <is>
          <t>남이면</t>
        </is>
      </c>
      <c r="G12280" s="3" t="inlineStr">
        <is>
          <t>척산리</t>
        </is>
      </c>
      <c r="H12280" s="3" t="inlineStr">
        <is>
          <t>계획관리지역</t>
        </is>
      </c>
      <c r="I12280" s="3" t="inlineStr">
        <is>
          <t>임야</t>
        </is>
      </c>
      <c r="J12280" s="3" t="inlineStr">
        <is>
          <t>남이면</t>
        </is>
      </c>
    </row>
    <row r="12281">
      <c r="A12281" s="3" t="n">
        <v>2026</v>
      </c>
      <c r="B12281" s="4" t="n">
        <v>75190</v>
      </c>
      <c r="C12281" s="4" t="n">
        <v>1347</v>
      </c>
      <c r="D12281" s="4" t="n">
        <v>407.4675</v>
      </c>
      <c r="E12281" s="5" t="n">
        <v>184.5</v>
      </c>
      <c r="F12281" s="3" t="inlineStr">
        <is>
          <t>현도면</t>
        </is>
      </c>
      <c r="G12281" s="3" t="inlineStr">
        <is>
          <t>선동리</t>
        </is>
      </c>
      <c r="H12281" s="3" t="inlineStr">
        <is>
          <t>용도미지정</t>
        </is>
      </c>
      <c r="I12281" s="3" t="inlineStr">
        <is>
          <t>대</t>
        </is>
      </c>
      <c r="J12281" s="3" t="inlineStr">
        <is>
          <t>현도면</t>
        </is>
      </c>
    </row>
    <row r="12282">
      <c r="A12282" s="3" t="n">
        <v>2026</v>
      </c>
      <c r="B12282" s="4" t="n">
        <v>7000</v>
      </c>
      <c r="C12282" s="4" t="n">
        <v>605</v>
      </c>
      <c r="D12282" s="4" t="n">
        <v>183.0125</v>
      </c>
      <c r="E12282" s="5" t="n">
        <v>38.2</v>
      </c>
      <c r="F12282" s="3" t="inlineStr">
        <is>
          <t>남이면</t>
        </is>
      </c>
      <c r="G12282" s="3" t="inlineStr">
        <is>
          <t>팔봉리</t>
        </is>
      </c>
      <c r="H12282" s="3" t="inlineStr">
        <is>
          <t>보전관리지역</t>
        </is>
      </c>
      <c r="I12282" s="3" t="inlineStr">
        <is>
          <t>대</t>
        </is>
      </c>
      <c r="J12282" s="3" t="inlineStr">
        <is>
          <t>남이면</t>
        </is>
      </c>
    </row>
    <row r="12283">
      <c r="A12283" s="3" t="n">
        <v>2026</v>
      </c>
      <c r="B12283" s="4" t="n">
        <v>2500</v>
      </c>
      <c r="C12283" s="4" t="n">
        <v>594.3</v>
      </c>
      <c r="D12283" s="4" t="n">
        <v>179.77575</v>
      </c>
      <c r="E12283" s="5" t="n">
        <v>13.9</v>
      </c>
      <c r="F12283" s="3" t="inlineStr">
        <is>
          <t>현도면</t>
        </is>
      </c>
      <c r="G12283" s="3" t="inlineStr">
        <is>
          <t>노산리</t>
        </is>
      </c>
      <c r="H12283" s="3" t="inlineStr">
        <is>
          <t>제1종일반주거지역</t>
        </is>
      </c>
      <c r="I12283" s="3" t="inlineStr">
        <is>
          <t>임야</t>
        </is>
      </c>
      <c r="J12283" s="3" t="inlineStr">
        <is>
          <t>현도면</t>
        </is>
      </c>
    </row>
    <row r="12284">
      <c r="A12284" s="3" t="n">
        <v>2026</v>
      </c>
      <c r="B12284" s="4" t="n">
        <v>300</v>
      </c>
      <c r="C12284" s="4" t="n">
        <v>107</v>
      </c>
      <c r="D12284" s="4" t="n">
        <v>32.3675</v>
      </c>
      <c r="E12284" s="5" t="n">
        <v>9.300000000000001</v>
      </c>
      <c r="F12284" s="3" t="inlineStr">
        <is>
          <t>남이면</t>
        </is>
      </c>
      <c r="G12284" s="3" t="inlineStr">
        <is>
          <t>외천리</t>
        </is>
      </c>
      <c r="H12284" s="3" t="inlineStr">
        <is>
          <t>계획관리지역</t>
        </is>
      </c>
      <c r="I12284" s="3" t="inlineStr">
        <is>
          <t>전</t>
        </is>
      </c>
      <c r="J12284" s="3" t="inlineStr">
        <is>
          <t>남이면</t>
        </is>
      </c>
    </row>
    <row r="12285">
      <c r="A12285" s="3" t="n">
        <v>2026</v>
      </c>
      <c r="B12285" s="4" t="n">
        <v>16000</v>
      </c>
      <c r="C12285" s="4" t="n">
        <v>1388</v>
      </c>
      <c r="D12285" s="4" t="n">
        <v>419.87</v>
      </c>
      <c r="E12285" s="5" t="n">
        <v>38.1</v>
      </c>
      <c r="F12285" s="3" t="inlineStr">
        <is>
          <t>남이면</t>
        </is>
      </c>
      <c r="G12285" s="3" t="inlineStr">
        <is>
          <t>사동리</t>
        </is>
      </c>
      <c r="H12285" s="3" t="inlineStr">
        <is>
          <t>보전관리지역</t>
        </is>
      </c>
      <c r="I12285" s="3" t="inlineStr">
        <is>
          <t>임야</t>
        </is>
      </c>
      <c r="J12285" s="3" t="inlineStr">
        <is>
          <t>남이면</t>
        </is>
      </c>
    </row>
    <row r="12286">
      <c r="A12286" s="3" t="n">
        <v>2026</v>
      </c>
      <c r="B12286" s="4" t="n">
        <v>2091</v>
      </c>
      <c r="C12286" s="4" t="n">
        <v>854</v>
      </c>
      <c r="D12286" s="4" t="n">
        <v>258.335</v>
      </c>
      <c r="E12286" s="5" t="n">
        <v>8.1</v>
      </c>
      <c r="F12286" s="3" t="inlineStr">
        <is>
          <t>남이면</t>
        </is>
      </c>
      <c r="G12286" s="3" t="inlineStr">
        <is>
          <t>부용외천리</t>
        </is>
      </c>
      <c r="H12286" s="3" t="inlineStr">
        <is>
          <t>생산관리지역</t>
        </is>
      </c>
      <c r="I12286" s="3" t="inlineStr">
        <is>
          <t>전</t>
        </is>
      </c>
      <c r="J12286" s="3" t="inlineStr">
        <is>
          <t>남이면</t>
        </is>
      </c>
    </row>
    <row r="12287">
      <c r="A12287" s="3" t="n">
        <v>2026</v>
      </c>
      <c r="B12287" s="4" t="n">
        <v>209</v>
      </c>
      <c r="C12287" s="4" t="n">
        <v>9</v>
      </c>
      <c r="D12287" s="4" t="n">
        <v>2.7225</v>
      </c>
      <c r="E12287" s="5" t="n">
        <v>76.8</v>
      </c>
      <c r="F12287" s="3" t="inlineStr">
        <is>
          <t>남이면</t>
        </is>
      </c>
      <c r="G12287" s="3" t="inlineStr">
        <is>
          <t>부용외천리</t>
        </is>
      </c>
      <c r="H12287" s="3" t="inlineStr">
        <is>
          <t>생산관리지역</t>
        </is>
      </c>
      <c r="I12287" s="3" t="inlineStr">
        <is>
          <t>전</t>
        </is>
      </c>
      <c r="J12287" s="3" t="inlineStr">
        <is>
          <t>남이면</t>
        </is>
      </c>
    </row>
    <row r="12288">
      <c r="A12288" s="3" t="n">
        <v>2026</v>
      </c>
      <c r="B12288" s="4" t="n">
        <v>25000</v>
      </c>
      <c r="C12288" s="4" t="n">
        <v>1826</v>
      </c>
      <c r="D12288" s="4" t="n">
        <v>552.365</v>
      </c>
      <c r="E12288" s="5" t="n">
        <v>45.3</v>
      </c>
      <c r="F12288" s="3" t="inlineStr">
        <is>
          <t>남이면</t>
        </is>
      </c>
      <c r="G12288" s="3" t="inlineStr">
        <is>
          <t>구암리</t>
        </is>
      </c>
      <c r="H12288" s="3" t="inlineStr">
        <is>
          <t>자연녹지지역</t>
        </is>
      </c>
      <c r="I12288" s="3" t="inlineStr">
        <is>
          <t>답</t>
        </is>
      </c>
      <c r="J12288" s="3" t="inlineStr">
        <is>
          <t>남이면</t>
        </is>
      </c>
    </row>
    <row r="12289">
      <c r="A12289" s="3" t="n">
        <v>2026</v>
      </c>
      <c r="B12289" s="4" t="n">
        <v>2000</v>
      </c>
      <c r="C12289" s="4" t="n">
        <v>594.3</v>
      </c>
      <c r="D12289" s="4" t="n">
        <v>179.77575</v>
      </c>
      <c r="E12289" s="5" t="n">
        <v>11.1</v>
      </c>
      <c r="F12289" s="3" t="inlineStr">
        <is>
          <t>현도면</t>
        </is>
      </c>
      <c r="G12289" s="3" t="inlineStr">
        <is>
          <t>노산리</t>
        </is>
      </c>
      <c r="H12289" s="3" t="inlineStr">
        <is>
          <t>제1종일반주거지역</t>
        </is>
      </c>
      <c r="I12289" s="3" t="inlineStr">
        <is>
          <t>임야</t>
        </is>
      </c>
      <c r="J12289" s="3" t="inlineStr">
        <is>
          <t>현도면</t>
        </is>
      </c>
    </row>
    <row r="12290">
      <c r="A12290" s="3" t="n">
        <v>2026</v>
      </c>
      <c r="B12290" s="4" t="n">
        <v>56600</v>
      </c>
      <c r="C12290" s="4" t="n">
        <v>4982</v>
      </c>
      <c r="D12290" s="4" t="n">
        <v>1507.055</v>
      </c>
      <c r="E12290" s="5" t="n">
        <v>37.6</v>
      </c>
      <c r="F12290" s="3" t="inlineStr">
        <is>
          <t>남이면</t>
        </is>
      </c>
      <c r="G12290" s="3" t="inlineStr">
        <is>
          <t>구미리</t>
        </is>
      </c>
      <c r="H12290" s="3" t="inlineStr">
        <is>
          <t>보전관리지역</t>
        </is>
      </c>
      <c r="I12290" s="3" t="inlineStr">
        <is>
          <t>대</t>
        </is>
      </c>
      <c r="J12290" s="3" t="inlineStr">
        <is>
          <t>남이면</t>
        </is>
      </c>
    </row>
    <row r="12291">
      <c r="A12291" s="3" t="n">
        <v>2026</v>
      </c>
      <c r="B12291" s="4" t="n">
        <v>13900</v>
      </c>
      <c r="C12291" s="4" t="n">
        <v>2003</v>
      </c>
      <c r="D12291" s="4" t="n">
        <v>605.9075</v>
      </c>
      <c r="E12291" s="5" t="n">
        <v>22.9</v>
      </c>
      <c r="F12291" s="3" t="inlineStr">
        <is>
          <t>남이면</t>
        </is>
      </c>
      <c r="G12291" s="3" t="inlineStr">
        <is>
          <t>부용외천리</t>
        </is>
      </c>
      <c r="H12291" s="3" t="inlineStr">
        <is>
          <t>보전관리지역</t>
        </is>
      </c>
      <c r="I12291" s="3" t="inlineStr">
        <is>
          <t>전</t>
        </is>
      </c>
      <c r="J12291" s="3" t="inlineStr">
        <is>
          <t>남이면</t>
        </is>
      </c>
    </row>
    <row r="12292">
      <c r="A12292" s="3" t="n">
        <v>2026</v>
      </c>
      <c r="B12292" s="4" t="n">
        <v>56000</v>
      </c>
      <c r="C12292" s="4" t="n">
        <v>2006</v>
      </c>
      <c r="D12292" s="4" t="n">
        <v>606.8149999999999</v>
      </c>
      <c r="E12292" s="5" t="n">
        <v>92.3</v>
      </c>
      <c r="F12292" s="3" t="inlineStr">
        <is>
          <t>남이면</t>
        </is>
      </c>
      <c r="G12292" s="3" t="inlineStr">
        <is>
          <t>석판리</t>
        </is>
      </c>
      <c r="H12292" s="3" t="inlineStr">
        <is>
          <t>자연녹지지역</t>
        </is>
      </c>
      <c r="I12292" s="3" t="inlineStr">
        <is>
          <t>답</t>
        </is>
      </c>
      <c r="J12292" s="3" t="inlineStr">
        <is>
          <t>남이면</t>
        </is>
      </c>
    </row>
    <row r="12293">
      <c r="A12293" s="3" t="n">
        <v>2026</v>
      </c>
      <c r="B12293" s="4" t="n">
        <v>100</v>
      </c>
      <c r="C12293" s="4" t="n">
        <v>53</v>
      </c>
      <c r="D12293" s="4" t="n">
        <v>16.0325</v>
      </c>
      <c r="E12293" s="5" t="n">
        <v>6.2</v>
      </c>
      <c r="F12293" s="3" t="inlineStr">
        <is>
          <t>현도면</t>
        </is>
      </c>
      <c r="G12293" s="3" t="inlineStr">
        <is>
          <t>매봉리</t>
        </is>
      </c>
      <c r="H12293" s="3" t="inlineStr">
        <is>
          <t>개발제한구역</t>
        </is>
      </c>
      <c r="I12293" s="3" t="inlineStr">
        <is>
          <t>전</t>
        </is>
      </c>
      <c r="J12293" s="3" t="inlineStr">
        <is>
          <t>현도면</t>
        </is>
      </c>
    </row>
    <row r="12294">
      <c r="A12294" s="3" t="n">
        <v>2026</v>
      </c>
      <c r="B12294" s="4" t="n">
        <v>1900</v>
      </c>
      <c r="C12294" s="4" t="n">
        <v>90</v>
      </c>
      <c r="D12294" s="4" t="n">
        <v>27.225</v>
      </c>
      <c r="E12294" s="5" t="n">
        <v>69.8</v>
      </c>
      <c r="F12294" s="3" t="inlineStr">
        <is>
          <t>현도면</t>
        </is>
      </c>
      <c r="G12294" s="3" t="inlineStr">
        <is>
          <t>매봉리</t>
        </is>
      </c>
      <c r="H12294" s="3" t="inlineStr">
        <is>
          <t>개발제한구역</t>
        </is>
      </c>
      <c r="I12294" s="3" t="inlineStr">
        <is>
          <t>대</t>
        </is>
      </c>
      <c r="J12294" s="3" t="inlineStr">
        <is>
          <t>현도면</t>
        </is>
      </c>
    </row>
    <row r="12295">
      <c r="A12295" s="3" t="n">
        <v>2022</v>
      </c>
      <c r="B12295" s="4" t="n">
        <v>20400</v>
      </c>
      <c r="C12295" s="4" t="n">
        <v>1242</v>
      </c>
      <c r="D12295" s="4" t="n">
        <v>375.705</v>
      </c>
      <c r="E12295" s="5" t="n">
        <v>54.3</v>
      </c>
      <c r="F12295" s="3" t="inlineStr">
        <is>
          <t>소정면</t>
        </is>
      </c>
      <c r="G12295" s="3" t="inlineStr">
        <is>
          <t>소정리</t>
        </is>
      </c>
      <c r="H12295" s="3" t="inlineStr">
        <is>
          <t>계획관리지역</t>
        </is>
      </c>
      <c r="I12295" s="3" t="inlineStr">
        <is>
          <t>전</t>
        </is>
      </c>
      <c r="J12295" s="3" t="inlineStr">
        <is>
          <t>소정면</t>
        </is>
      </c>
    </row>
    <row r="12296">
      <c r="A12296" s="3" t="n">
        <v>2022</v>
      </c>
      <c r="B12296" s="4" t="n">
        <v>271000</v>
      </c>
      <c r="C12296" s="4" t="n">
        <v>8987</v>
      </c>
      <c r="D12296" s="4" t="n">
        <v>2718.5675</v>
      </c>
      <c r="E12296" s="5" t="n">
        <v>99.7</v>
      </c>
      <c r="F12296" s="3" t="inlineStr">
        <is>
          <t>전의면</t>
        </is>
      </c>
      <c r="G12296" s="3" t="inlineStr">
        <is>
          <t>양곡리</t>
        </is>
      </c>
      <c r="H12296" s="3" t="inlineStr">
        <is>
          <t>계획관리지역</t>
        </is>
      </c>
      <c r="I12296" s="3" t="inlineStr">
        <is>
          <t>전</t>
        </is>
      </c>
      <c r="J12296" s="3" t="inlineStr">
        <is>
          <t>전의면</t>
        </is>
      </c>
    </row>
    <row r="12297">
      <c r="A12297" s="3" t="n">
        <v>2022</v>
      </c>
      <c r="B12297" s="4" t="n">
        <v>9600</v>
      </c>
      <c r="C12297" s="4" t="n">
        <v>318</v>
      </c>
      <c r="D12297" s="4" t="n">
        <v>96.19499999999999</v>
      </c>
      <c r="E12297" s="5" t="n">
        <v>99.8</v>
      </c>
      <c r="F12297" s="3" t="inlineStr">
        <is>
          <t>전의면</t>
        </is>
      </c>
      <c r="G12297" s="3" t="inlineStr">
        <is>
          <t>양곡리</t>
        </is>
      </c>
      <c r="H12297" s="3" t="inlineStr">
        <is>
          <t>계획관리지역</t>
        </is>
      </c>
      <c r="I12297" s="3" t="inlineStr">
        <is>
          <t>전</t>
        </is>
      </c>
      <c r="J12297" s="3" t="inlineStr">
        <is>
          <t>전의면</t>
        </is>
      </c>
    </row>
    <row r="12298">
      <c r="A12298" s="3" t="n">
        <v>2022</v>
      </c>
      <c r="B12298" s="4" t="n">
        <v>27400</v>
      </c>
      <c r="C12298" s="4" t="n">
        <v>908</v>
      </c>
      <c r="D12298" s="4" t="n">
        <v>274.67</v>
      </c>
      <c r="E12298" s="5" t="n">
        <v>99.8</v>
      </c>
      <c r="F12298" s="3" t="inlineStr">
        <is>
          <t>전의면</t>
        </is>
      </c>
      <c r="G12298" s="3" t="inlineStr">
        <is>
          <t>양곡리</t>
        </is>
      </c>
      <c r="H12298" s="3" t="inlineStr">
        <is>
          <t>계획관리지역</t>
        </is>
      </c>
      <c r="I12298" s="3" t="inlineStr">
        <is>
          <t>전</t>
        </is>
      </c>
      <c r="J12298" s="3" t="inlineStr">
        <is>
          <t>전의면</t>
        </is>
      </c>
    </row>
    <row r="12299">
      <c r="A12299" s="3" t="n">
        <v>2022</v>
      </c>
      <c r="B12299" s="4" t="n">
        <v>85900</v>
      </c>
      <c r="C12299" s="4" t="n">
        <v>2840</v>
      </c>
      <c r="D12299" s="4" t="n">
        <v>859.1</v>
      </c>
      <c r="E12299" s="5" t="n">
        <v>100</v>
      </c>
      <c r="F12299" s="3" t="inlineStr">
        <is>
          <t>전의면</t>
        </is>
      </c>
      <c r="G12299" s="3" t="inlineStr">
        <is>
          <t>양곡리</t>
        </is>
      </c>
      <c r="H12299" s="3" t="inlineStr">
        <is>
          <t>계획관리지역</t>
        </is>
      </c>
      <c r="I12299" s="3" t="inlineStr">
        <is>
          <t>전</t>
        </is>
      </c>
      <c r="J12299" s="3" t="inlineStr">
        <is>
          <t>전의면</t>
        </is>
      </c>
    </row>
    <row r="12300">
      <c r="A12300" s="3" t="n">
        <v>2022</v>
      </c>
      <c r="B12300" s="4" t="n">
        <v>7500</v>
      </c>
      <c r="C12300" s="4" t="n">
        <v>248</v>
      </c>
      <c r="D12300" s="4" t="n">
        <v>75.02</v>
      </c>
      <c r="E12300" s="5" t="n">
        <v>100</v>
      </c>
      <c r="F12300" s="3" t="inlineStr">
        <is>
          <t>전의면</t>
        </is>
      </c>
      <c r="G12300" s="3" t="inlineStr">
        <is>
          <t>양곡리</t>
        </is>
      </c>
      <c r="H12300" s="3" t="inlineStr">
        <is>
          <t>계획관리지역</t>
        </is>
      </c>
      <c r="I12300" s="3" t="inlineStr">
        <is>
          <t>전</t>
        </is>
      </c>
      <c r="J12300" s="3" t="inlineStr">
        <is>
          <t>전의면</t>
        </is>
      </c>
    </row>
    <row r="12301">
      <c r="A12301" s="3" t="n">
        <v>2022</v>
      </c>
      <c r="B12301" s="4" t="n">
        <v>32900</v>
      </c>
      <c r="C12301" s="4" t="n">
        <v>1012</v>
      </c>
      <c r="D12301" s="4" t="n">
        <v>306.13</v>
      </c>
      <c r="E12301" s="5" t="n">
        <v>107.5</v>
      </c>
      <c r="F12301" s="3" t="inlineStr">
        <is>
          <t>전의면</t>
        </is>
      </c>
      <c r="G12301" s="3" t="inlineStr">
        <is>
          <t>양곡리</t>
        </is>
      </c>
      <c r="H12301" s="3" t="inlineStr">
        <is>
          <t>계획관리지역</t>
        </is>
      </c>
      <c r="I12301" s="3" t="inlineStr">
        <is>
          <t>답</t>
        </is>
      </c>
      <c r="J12301" s="3" t="inlineStr">
        <is>
          <t>전의면</t>
        </is>
      </c>
    </row>
    <row r="12302">
      <c r="A12302" s="3" t="n">
        <v>2022</v>
      </c>
      <c r="B12302" s="4" t="n">
        <v>39000</v>
      </c>
      <c r="C12302" s="4" t="n">
        <v>1349</v>
      </c>
      <c r="D12302" s="4" t="n">
        <v>408.0725</v>
      </c>
      <c r="E12302" s="5" t="n">
        <v>95.59999999999999</v>
      </c>
      <c r="F12302" s="3" t="inlineStr">
        <is>
          <t>전의면</t>
        </is>
      </c>
      <c r="G12302" s="3" t="inlineStr">
        <is>
          <t>양곡리</t>
        </is>
      </c>
      <c r="H12302" s="3" t="inlineStr">
        <is>
          <t>계획관리지역</t>
        </is>
      </c>
      <c r="I12302" s="3" t="inlineStr">
        <is>
          <t>전</t>
        </is>
      </c>
      <c r="J12302" s="3" t="inlineStr">
        <is>
          <t>전의면</t>
        </is>
      </c>
    </row>
    <row r="12303">
      <c r="A12303" s="3" t="n">
        <v>2022</v>
      </c>
      <c r="B12303" s="4" t="n">
        <v>22300</v>
      </c>
      <c r="C12303" s="4" t="n">
        <v>736</v>
      </c>
      <c r="D12303" s="4" t="n">
        <v>222.64</v>
      </c>
      <c r="E12303" s="5" t="n">
        <v>100.2</v>
      </c>
      <c r="F12303" s="3" t="inlineStr">
        <is>
          <t>전의면</t>
        </is>
      </c>
      <c r="G12303" s="3" t="inlineStr">
        <is>
          <t>양곡리</t>
        </is>
      </c>
      <c r="H12303" s="3" t="inlineStr">
        <is>
          <t>계획관리지역</t>
        </is>
      </c>
      <c r="I12303" s="3" t="inlineStr">
        <is>
          <t>전</t>
        </is>
      </c>
      <c r="J12303" s="3" t="inlineStr">
        <is>
          <t>전의면</t>
        </is>
      </c>
    </row>
    <row r="12304">
      <c r="A12304" s="3" t="n">
        <v>2023</v>
      </c>
      <c r="B12304" s="4" t="n">
        <v>17000</v>
      </c>
      <c r="C12304" s="4" t="n">
        <v>512</v>
      </c>
      <c r="D12304" s="4" t="n">
        <v>154.88</v>
      </c>
      <c r="E12304" s="5" t="n">
        <v>109.8</v>
      </c>
      <c r="F12304" s="3" t="inlineStr">
        <is>
          <t>남이면</t>
        </is>
      </c>
      <c r="G12304" s="3" t="inlineStr">
        <is>
          <t>양촌리</t>
        </is>
      </c>
      <c r="H12304" s="3" t="inlineStr">
        <is>
          <t>자연녹지지역</t>
        </is>
      </c>
      <c r="I12304" s="3" t="inlineStr">
        <is>
          <t>임야</t>
        </is>
      </c>
      <c r="J12304" s="3" t="inlineStr">
        <is>
          <t>남이면</t>
        </is>
      </c>
    </row>
    <row r="12305">
      <c r="A12305" s="3" t="n">
        <v>2023</v>
      </c>
      <c r="B12305" s="4" t="n">
        <v>4794</v>
      </c>
      <c r="C12305" s="4" t="n">
        <v>5276</v>
      </c>
      <c r="D12305" s="4" t="n">
        <v>1595.99</v>
      </c>
      <c r="E12305" s="5" t="n">
        <v>3</v>
      </c>
      <c r="F12305" s="3" t="inlineStr">
        <is>
          <t>현도면</t>
        </is>
      </c>
      <c r="G12305" s="3" t="inlineStr">
        <is>
          <t>하석리</t>
        </is>
      </c>
      <c r="H12305" s="3" t="inlineStr">
        <is>
          <t>자연녹지지역</t>
        </is>
      </c>
      <c r="I12305" s="3" t="inlineStr">
        <is>
          <t>임야</t>
        </is>
      </c>
      <c r="J12305" s="3" t="inlineStr">
        <is>
          <t>현도면</t>
        </is>
      </c>
    </row>
    <row r="12306">
      <c r="A12306" s="3" t="n">
        <v>2023</v>
      </c>
      <c r="B12306" s="4" t="n">
        <v>57840</v>
      </c>
      <c r="C12306" s="4" t="n">
        <v>3187</v>
      </c>
      <c r="D12306" s="4" t="n">
        <v>964.0675</v>
      </c>
      <c r="E12306" s="5" t="n">
        <v>60</v>
      </c>
      <c r="F12306" s="3" t="inlineStr">
        <is>
          <t>현도면</t>
        </is>
      </c>
      <c r="G12306" s="3" t="inlineStr">
        <is>
          <t>선동리</t>
        </is>
      </c>
      <c r="H12306" s="3" t="inlineStr">
        <is>
          <t>계획관리지역</t>
        </is>
      </c>
      <c r="I12306" s="3" t="inlineStr">
        <is>
          <t>전</t>
        </is>
      </c>
      <c r="J12306" s="3" t="inlineStr">
        <is>
          <t>현도면</t>
        </is>
      </c>
    </row>
    <row r="12307">
      <c r="A12307" s="3" t="n">
        <v>2023</v>
      </c>
      <c r="B12307" s="4" t="n">
        <v>5800</v>
      </c>
      <c r="C12307" s="4" t="n">
        <v>215</v>
      </c>
      <c r="D12307" s="4" t="n">
        <v>65.03749999999999</v>
      </c>
      <c r="E12307" s="5" t="n">
        <v>89.2</v>
      </c>
      <c r="F12307" s="3" t="inlineStr">
        <is>
          <t>남이면</t>
        </is>
      </c>
      <c r="G12307" s="3" t="inlineStr">
        <is>
          <t>비룡리</t>
        </is>
      </c>
      <c r="H12307" s="3" t="inlineStr">
        <is>
          <t>계획관리지역</t>
        </is>
      </c>
      <c r="I12307" s="3" t="inlineStr">
        <is>
          <t>대</t>
        </is>
      </c>
      <c r="J12307" s="3" t="inlineStr">
        <is>
          <t>남이면</t>
        </is>
      </c>
    </row>
    <row r="12308">
      <c r="A12308" s="3" t="n">
        <v>2023</v>
      </c>
      <c r="B12308" s="4" t="n">
        <v>1200</v>
      </c>
      <c r="C12308" s="4" t="n">
        <v>46</v>
      </c>
      <c r="D12308" s="4" t="n">
        <v>13.915</v>
      </c>
      <c r="E12308" s="5" t="n">
        <v>86.2</v>
      </c>
      <c r="F12308" s="3" t="inlineStr">
        <is>
          <t>남이면</t>
        </is>
      </c>
      <c r="G12308" s="3" t="inlineStr">
        <is>
          <t>비룡리</t>
        </is>
      </c>
      <c r="H12308" s="3" t="inlineStr">
        <is>
          <t>계획관리지역</t>
        </is>
      </c>
      <c r="I12308" s="3" t="inlineStr">
        <is>
          <t>대</t>
        </is>
      </c>
      <c r="J12308" s="3" t="inlineStr">
        <is>
          <t>남이면</t>
        </is>
      </c>
    </row>
    <row r="12309">
      <c r="A12309" s="3" t="n">
        <v>2023</v>
      </c>
      <c r="B12309" s="4" t="n">
        <v>7500</v>
      </c>
      <c r="C12309" s="4" t="n">
        <v>291</v>
      </c>
      <c r="D12309" s="4" t="n">
        <v>88.0275</v>
      </c>
      <c r="E12309" s="5" t="n">
        <v>85.2</v>
      </c>
      <c r="F12309" s="3" t="inlineStr">
        <is>
          <t>현도면</t>
        </is>
      </c>
      <c r="G12309" s="3" t="inlineStr">
        <is>
          <t>우록리</t>
        </is>
      </c>
      <c r="H12309" s="3" t="inlineStr">
        <is>
          <t>계획관리지역</t>
        </is>
      </c>
      <c r="I12309" s="3" t="inlineStr">
        <is>
          <t>답</t>
        </is>
      </c>
      <c r="J12309" s="3" t="inlineStr">
        <is>
          <t>현도면</t>
        </is>
      </c>
    </row>
    <row r="12310">
      <c r="A12310" s="3" t="n">
        <v>2023</v>
      </c>
      <c r="B12310" s="4" t="n">
        <v>6000</v>
      </c>
      <c r="C12310" s="4" t="n">
        <v>7835</v>
      </c>
      <c r="D12310" s="4" t="n">
        <v>2370.0875</v>
      </c>
      <c r="E12310" s="5" t="n">
        <v>2.5</v>
      </c>
      <c r="F12310" s="3" t="inlineStr">
        <is>
          <t>현도면</t>
        </is>
      </c>
      <c r="G12310" s="3" t="inlineStr">
        <is>
          <t>양지리</t>
        </is>
      </c>
      <c r="H12310" s="3" t="inlineStr">
        <is>
          <t>개발제한구역</t>
        </is>
      </c>
      <c r="I12310" s="3" t="inlineStr">
        <is>
          <t>임야</t>
        </is>
      </c>
      <c r="J12310" s="3" t="inlineStr">
        <is>
          <t>현도면</t>
        </is>
      </c>
    </row>
    <row r="12311">
      <c r="A12311" s="3" t="n">
        <v>2023</v>
      </c>
      <c r="B12311" s="4" t="n">
        <v>7500</v>
      </c>
      <c r="C12311" s="4" t="n">
        <v>291</v>
      </c>
      <c r="D12311" s="4" t="n">
        <v>88.0275</v>
      </c>
      <c r="E12311" s="5" t="n">
        <v>85.2</v>
      </c>
      <c r="F12311" s="3" t="inlineStr">
        <is>
          <t>현도면</t>
        </is>
      </c>
      <c r="G12311" s="3" t="inlineStr">
        <is>
          <t>우록리</t>
        </is>
      </c>
      <c r="H12311" s="3" t="inlineStr">
        <is>
          <t>계획관리지역</t>
        </is>
      </c>
      <c r="I12311" s="3" t="inlineStr">
        <is>
          <t>답</t>
        </is>
      </c>
      <c r="J12311" s="3" t="inlineStr">
        <is>
          <t>현도면</t>
        </is>
      </c>
    </row>
    <row r="12312">
      <c r="A12312" s="3" t="n">
        <v>2023</v>
      </c>
      <c r="B12312" s="4" t="n">
        <v>26000</v>
      </c>
      <c r="C12312" s="4" t="n">
        <v>2480</v>
      </c>
      <c r="D12312" s="4" t="n">
        <v>750.1999999999999</v>
      </c>
      <c r="E12312" s="5" t="n">
        <v>34.7</v>
      </c>
      <c r="F12312" s="3" t="inlineStr">
        <is>
          <t>남이면</t>
        </is>
      </c>
      <c r="G12312" s="3" t="inlineStr">
        <is>
          <t>가마리</t>
        </is>
      </c>
      <c r="H12312" s="3" t="inlineStr">
        <is>
          <t>보전녹지지역</t>
        </is>
      </c>
      <c r="I12312" s="3" t="inlineStr">
        <is>
          <t>임야</t>
        </is>
      </c>
      <c r="J12312" s="3" t="inlineStr">
        <is>
          <t>남이면</t>
        </is>
      </c>
    </row>
    <row r="12313">
      <c r="A12313" s="3" t="n">
        <v>2023</v>
      </c>
      <c r="B12313" s="4" t="n">
        <v>2000</v>
      </c>
      <c r="C12313" s="4" t="n">
        <v>185</v>
      </c>
      <c r="D12313" s="4" t="n">
        <v>55.9625</v>
      </c>
      <c r="E12313" s="5" t="n">
        <v>35.7</v>
      </c>
      <c r="F12313" s="3" t="inlineStr">
        <is>
          <t>남이면</t>
        </is>
      </c>
      <c r="G12313" s="3" t="inlineStr">
        <is>
          <t>외천리</t>
        </is>
      </c>
      <c r="H12313" s="3" t="inlineStr">
        <is>
          <t>계획관리지역</t>
        </is>
      </c>
      <c r="I12313" s="3" t="inlineStr">
        <is>
          <t>임야</t>
        </is>
      </c>
      <c r="J12313" s="3" t="inlineStr">
        <is>
          <t>남이면</t>
        </is>
      </c>
    </row>
    <row r="12314">
      <c r="A12314" s="3" t="n">
        <v>2023</v>
      </c>
      <c r="B12314" s="4" t="n">
        <v>17800</v>
      </c>
      <c r="C12314" s="4" t="n">
        <v>1993</v>
      </c>
      <c r="D12314" s="4" t="n">
        <v>602.8824999999999</v>
      </c>
      <c r="E12314" s="5" t="n">
        <v>29.5</v>
      </c>
      <c r="F12314" s="3" t="inlineStr">
        <is>
          <t>현도면</t>
        </is>
      </c>
      <c r="G12314" s="3" t="inlineStr">
        <is>
          <t>중척리</t>
        </is>
      </c>
      <c r="H12314" s="3" t="inlineStr">
        <is>
          <t>개발제한구역</t>
        </is>
      </c>
      <c r="I12314" s="3" t="inlineStr">
        <is>
          <t>전</t>
        </is>
      </c>
      <c r="J12314" s="3" t="inlineStr">
        <is>
          <t>현도면</t>
        </is>
      </c>
    </row>
    <row r="12315">
      <c r="A12315" s="3" t="n">
        <v>2022</v>
      </c>
      <c r="B12315" s="4" t="n">
        <v>24420</v>
      </c>
      <c r="C12315" s="4" t="n">
        <v>1345</v>
      </c>
      <c r="D12315" s="4" t="n">
        <v>406.8625</v>
      </c>
      <c r="E12315" s="5" t="n">
        <v>60</v>
      </c>
      <c r="F12315" s="3" t="inlineStr">
        <is>
          <t>남이면</t>
        </is>
      </c>
      <c r="G12315" s="3" t="inlineStr">
        <is>
          <t>가좌리</t>
        </is>
      </c>
      <c r="H12315" s="3" t="inlineStr">
        <is>
          <t>자연녹지지역</t>
        </is>
      </c>
      <c r="I12315" s="3" t="inlineStr">
        <is>
          <t>답</t>
        </is>
      </c>
      <c r="J12315" s="3" t="inlineStr">
        <is>
          <t>남이면</t>
        </is>
      </c>
    </row>
    <row r="12316">
      <c r="A12316" s="3" t="n">
        <v>2022</v>
      </c>
      <c r="B12316" s="4" t="n">
        <v>37600</v>
      </c>
      <c r="C12316" s="4" t="n">
        <v>2324</v>
      </c>
      <c r="D12316" s="4" t="n">
        <v>703.01</v>
      </c>
      <c r="E12316" s="5" t="n">
        <v>53.5</v>
      </c>
      <c r="F12316" s="3" t="inlineStr">
        <is>
          <t>남이면</t>
        </is>
      </c>
      <c r="G12316" s="3" t="inlineStr">
        <is>
          <t>구암리</t>
        </is>
      </c>
      <c r="H12316" s="3" t="inlineStr">
        <is>
          <t>자연녹지지역</t>
        </is>
      </c>
      <c r="I12316" s="3" t="inlineStr">
        <is>
          <t>답</t>
        </is>
      </c>
      <c r="J12316" s="3" t="inlineStr">
        <is>
          <t>남이면</t>
        </is>
      </c>
    </row>
    <row r="12317">
      <c r="A12317" s="3" t="n">
        <v>2022</v>
      </c>
      <c r="B12317" s="4" t="n">
        <v>1793</v>
      </c>
      <c r="C12317" s="4" t="n">
        <v>99</v>
      </c>
      <c r="D12317" s="4" t="n">
        <v>29.9475</v>
      </c>
      <c r="E12317" s="5" t="n">
        <v>59.9</v>
      </c>
      <c r="F12317" s="3" t="inlineStr">
        <is>
          <t>현도면</t>
        </is>
      </c>
      <c r="G12317" s="3" t="inlineStr">
        <is>
          <t>상삼리</t>
        </is>
      </c>
      <c r="H12317" s="3" t="inlineStr">
        <is>
          <t>계획관리지역</t>
        </is>
      </c>
      <c r="I12317" s="3" t="inlineStr">
        <is>
          <t>전</t>
        </is>
      </c>
      <c r="J12317" s="3" t="inlineStr">
        <is>
          <t>현도면</t>
        </is>
      </c>
    </row>
    <row r="12318">
      <c r="A12318" s="3" t="n">
        <v>2022</v>
      </c>
      <c r="B12318" s="4" t="n">
        <v>14000</v>
      </c>
      <c r="C12318" s="4" t="n">
        <v>1117</v>
      </c>
      <c r="D12318" s="4" t="n">
        <v>337.8925</v>
      </c>
      <c r="E12318" s="5" t="n">
        <v>41.4</v>
      </c>
      <c r="F12318" s="3" t="inlineStr">
        <is>
          <t>남이면</t>
        </is>
      </c>
      <c r="G12318" s="3" t="inlineStr">
        <is>
          <t>외천리</t>
        </is>
      </c>
      <c r="H12318" s="3" t="inlineStr">
        <is>
          <t>계획관리지역</t>
        </is>
      </c>
      <c r="I12318" s="3" t="inlineStr">
        <is>
          <t>도로</t>
        </is>
      </c>
      <c r="J12318" s="3" t="inlineStr">
        <is>
          <t>남이면</t>
        </is>
      </c>
    </row>
    <row r="12319">
      <c r="A12319" s="3" t="n">
        <v>2022</v>
      </c>
      <c r="B12319" s="4" t="n">
        <v>3000</v>
      </c>
      <c r="C12319" s="4" t="n">
        <v>1225</v>
      </c>
      <c r="D12319" s="4" t="n">
        <v>370.5625</v>
      </c>
      <c r="E12319" s="5" t="n">
        <v>8.1</v>
      </c>
      <c r="F12319" s="3" t="inlineStr">
        <is>
          <t>현도면</t>
        </is>
      </c>
      <c r="G12319" s="3" t="inlineStr">
        <is>
          <t>죽암리</t>
        </is>
      </c>
      <c r="H12319" s="3" t="inlineStr">
        <is>
          <t>생산관리지역</t>
        </is>
      </c>
      <c r="I12319" s="3" t="inlineStr">
        <is>
          <t>전</t>
        </is>
      </c>
      <c r="J12319" s="3" t="inlineStr">
        <is>
          <t>현도면</t>
        </is>
      </c>
    </row>
    <row r="12320">
      <c r="A12320" s="3" t="n">
        <v>2022</v>
      </c>
      <c r="B12320" s="4" t="n">
        <v>2000</v>
      </c>
      <c r="C12320" s="4" t="n">
        <v>743</v>
      </c>
      <c r="D12320" s="4" t="n">
        <v>224.7575</v>
      </c>
      <c r="E12320" s="5" t="n">
        <v>8.9</v>
      </c>
      <c r="F12320" s="3" t="inlineStr">
        <is>
          <t>현도면</t>
        </is>
      </c>
      <c r="G12320" s="3" t="inlineStr">
        <is>
          <t>죽암리</t>
        </is>
      </c>
      <c r="H12320" s="3" t="inlineStr">
        <is>
          <t>생산관리지역</t>
        </is>
      </c>
      <c r="I12320" s="3" t="inlineStr">
        <is>
          <t>전</t>
        </is>
      </c>
      <c r="J12320" s="3" t="inlineStr">
        <is>
          <t>현도면</t>
        </is>
      </c>
    </row>
    <row r="12321">
      <c r="A12321" s="3" t="n">
        <v>2022</v>
      </c>
      <c r="B12321" s="4" t="n">
        <v>7950</v>
      </c>
      <c r="C12321" s="4" t="n">
        <v>1325</v>
      </c>
      <c r="D12321" s="4" t="n">
        <v>400.8125</v>
      </c>
      <c r="E12321" s="5" t="n">
        <v>19.8</v>
      </c>
      <c r="F12321" s="3" t="inlineStr">
        <is>
          <t>현도면</t>
        </is>
      </c>
      <c r="G12321" s="3" t="inlineStr">
        <is>
          <t>하석리</t>
        </is>
      </c>
      <c r="H12321" s="3" t="inlineStr">
        <is>
          <t>개발제한구역</t>
        </is>
      </c>
      <c r="I12321" s="3" t="inlineStr">
        <is>
          <t>전</t>
        </is>
      </c>
      <c r="J12321" s="3" t="inlineStr">
        <is>
          <t>현도면</t>
        </is>
      </c>
    </row>
    <row r="12322">
      <c r="A12322" s="3" t="n">
        <v>2022</v>
      </c>
      <c r="B12322" s="4" t="n">
        <v>4800</v>
      </c>
      <c r="C12322" s="4" t="n">
        <v>221</v>
      </c>
      <c r="D12322" s="4" t="n">
        <v>66.85249999999999</v>
      </c>
      <c r="E12322" s="5" t="n">
        <v>71.8</v>
      </c>
      <c r="F12322" s="3" t="inlineStr">
        <is>
          <t>남이면</t>
        </is>
      </c>
      <c r="G12322" s="3" t="inlineStr">
        <is>
          <t>가마리</t>
        </is>
      </c>
      <c r="H12322" s="3" t="inlineStr">
        <is>
          <t>자연녹지지역</t>
        </is>
      </c>
      <c r="I12322" s="3" t="inlineStr">
        <is>
          <t>도로</t>
        </is>
      </c>
      <c r="J12322" s="3" t="inlineStr">
        <is>
          <t>남이면</t>
        </is>
      </c>
    </row>
    <row r="12323">
      <c r="A12323" s="3" t="n">
        <v>2022</v>
      </c>
      <c r="B12323" s="4" t="n">
        <v>12700</v>
      </c>
      <c r="C12323" s="4" t="n">
        <v>630</v>
      </c>
      <c r="D12323" s="4" t="n">
        <v>190.575</v>
      </c>
      <c r="E12323" s="5" t="n">
        <v>66.59999999999999</v>
      </c>
      <c r="F12323" s="3" t="inlineStr">
        <is>
          <t>남이면</t>
        </is>
      </c>
      <c r="G12323" s="3" t="inlineStr">
        <is>
          <t>구암리</t>
        </is>
      </c>
      <c r="H12323" s="3" t="inlineStr">
        <is>
          <t>자연녹지지역</t>
        </is>
      </c>
      <c r="I12323" s="3" t="inlineStr">
        <is>
          <t>전</t>
        </is>
      </c>
      <c r="J12323" s="3" t="inlineStr">
        <is>
          <t>남이면</t>
        </is>
      </c>
    </row>
    <row r="12324">
      <c r="A12324" s="3" t="n">
        <v>2022</v>
      </c>
      <c r="B12324" s="4" t="n">
        <v>21030</v>
      </c>
      <c r="C12324" s="4" t="n">
        <v>656</v>
      </c>
      <c r="D12324" s="4" t="n">
        <v>198.44</v>
      </c>
      <c r="E12324" s="5" t="n">
        <v>106</v>
      </c>
      <c r="F12324" s="3" t="inlineStr">
        <is>
          <t>남이면</t>
        </is>
      </c>
      <c r="G12324" s="3" t="inlineStr">
        <is>
          <t>수대리</t>
        </is>
      </c>
      <c r="H12324" s="3" t="inlineStr">
        <is>
          <t>보전녹지지역</t>
        </is>
      </c>
      <c r="I12324" s="3" t="inlineStr">
        <is>
          <t>임야</t>
        </is>
      </c>
      <c r="J12324" s="3" t="inlineStr">
        <is>
          <t>남이면</t>
        </is>
      </c>
    </row>
    <row r="12325">
      <c r="A12325" s="3" t="n">
        <v>2022</v>
      </c>
      <c r="B12325" s="4" t="n">
        <v>28184</v>
      </c>
      <c r="C12325" s="4" t="n">
        <v>1652</v>
      </c>
      <c r="D12325" s="4" t="n">
        <v>499.73</v>
      </c>
      <c r="E12325" s="5" t="n">
        <v>56.4</v>
      </c>
      <c r="F12325" s="3" t="inlineStr">
        <is>
          <t>남이면</t>
        </is>
      </c>
      <c r="G12325" s="3" t="inlineStr">
        <is>
          <t>구암리</t>
        </is>
      </c>
      <c r="H12325" s="3" t="inlineStr">
        <is>
          <t>자연녹지지역</t>
        </is>
      </c>
      <c r="I12325" s="3" t="inlineStr">
        <is>
          <t>답</t>
        </is>
      </c>
      <c r="J12325" s="3" t="inlineStr">
        <is>
          <t>남이면</t>
        </is>
      </c>
    </row>
    <row r="12326">
      <c r="A12326" s="3" t="n">
        <v>2022</v>
      </c>
      <c r="B12326" s="4" t="n">
        <v>59000</v>
      </c>
      <c r="C12326" s="4" t="n">
        <v>2144</v>
      </c>
      <c r="D12326" s="4" t="n">
        <v>648.5599999999999</v>
      </c>
      <c r="E12326" s="5" t="n">
        <v>91</v>
      </c>
      <c r="F12326" s="3" t="inlineStr">
        <is>
          <t>남이면</t>
        </is>
      </c>
      <c r="G12326" s="3" t="inlineStr">
        <is>
          <t>구미리</t>
        </is>
      </c>
      <c r="H12326" s="3" t="inlineStr">
        <is>
          <t>계획관리지역</t>
        </is>
      </c>
      <c r="I12326" s="3" t="inlineStr">
        <is>
          <t>답</t>
        </is>
      </c>
      <c r="J12326" s="3" t="inlineStr">
        <is>
          <t>남이면</t>
        </is>
      </c>
    </row>
    <row r="12327">
      <c r="A12327" s="3" t="n">
        <v>2022</v>
      </c>
      <c r="B12327" s="4" t="n">
        <v>88000</v>
      </c>
      <c r="C12327" s="4" t="n">
        <v>2109</v>
      </c>
      <c r="D12327" s="4" t="n">
        <v>637.9725</v>
      </c>
      <c r="E12327" s="5" t="n">
        <v>137.9</v>
      </c>
      <c r="F12327" s="3" t="inlineStr">
        <is>
          <t>남이면</t>
        </is>
      </c>
      <c r="G12327" s="3" t="inlineStr">
        <is>
          <t>구미리</t>
        </is>
      </c>
      <c r="H12327" s="3" t="inlineStr">
        <is>
          <t>계획관리지역</t>
        </is>
      </c>
      <c r="I12327" s="3" t="inlineStr">
        <is>
          <t>대</t>
        </is>
      </c>
      <c r="J12327" s="3" t="inlineStr">
        <is>
          <t>남이면</t>
        </is>
      </c>
    </row>
    <row r="12328">
      <c r="A12328" s="3" t="n">
        <v>2022</v>
      </c>
      <c r="B12328" s="4" t="n">
        <v>2000</v>
      </c>
      <c r="C12328" s="4" t="n">
        <v>268</v>
      </c>
      <c r="D12328" s="4" t="n">
        <v>81.06999999999999</v>
      </c>
      <c r="E12328" s="5" t="n">
        <v>24.7</v>
      </c>
      <c r="F12328" s="3" t="inlineStr">
        <is>
          <t>남이면</t>
        </is>
      </c>
      <c r="G12328" s="3" t="inlineStr">
        <is>
          <t>구미리</t>
        </is>
      </c>
      <c r="H12328" s="3" t="inlineStr">
        <is>
          <t>계획관리지역</t>
        </is>
      </c>
      <c r="I12328" s="3" t="inlineStr">
        <is>
          <t>임야</t>
        </is>
      </c>
      <c r="J12328" s="3" t="inlineStr">
        <is>
          <t>남이면</t>
        </is>
      </c>
    </row>
    <row r="12329">
      <c r="A12329" s="3" t="n">
        <v>2022</v>
      </c>
      <c r="B12329" s="4" t="n">
        <v>3000</v>
      </c>
      <c r="C12329" s="4" t="n">
        <v>126</v>
      </c>
      <c r="D12329" s="4" t="n">
        <v>38.115</v>
      </c>
      <c r="E12329" s="5" t="n">
        <v>78.7</v>
      </c>
      <c r="F12329" s="3" t="inlineStr">
        <is>
          <t>남이면</t>
        </is>
      </c>
      <c r="G12329" s="3" t="inlineStr">
        <is>
          <t>구미리</t>
        </is>
      </c>
      <c r="H12329" s="3" t="inlineStr">
        <is>
          <t>계획관리지역</t>
        </is>
      </c>
      <c r="I12329" s="3" t="inlineStr">
        <is>
          <t>대</t>
        </is>
      </c>
      <c r="J12329" s="3" t="inlineStr">
        <is>
          <t>남이면</t>
        </is>
      </c>
    </row>
    <row r="12330">
      <c r="A12330" s="3" t="n">
        <v>2022</v>
      </c>
      <c r="B12330" s="4" t="n">
        <v>70000</v>
      </c>
      <c r="C12330" s="4" t="n">
        <v>1652</v>
      </c>
      <c r="D12330" s="4" t="n">
        <v>499.73</v>
      </c>
      <c r="E12330" s="5" t="n">
        <v>140.1</v>
      </c>
      <c r="F12330" s="3" t="inlineStr">
        <is>
          <t>남이면</t>
        </is>
      </c>
      <c r="G12330" s="3" t="inlineStr">
        <is>
          <t>구암리</t>
        </is>
      </c>
      <c r="H12330" s="3" t="inlineStr">
        <is>
          <t>자연녹지지역</t>
        </is>
      </c>
      <c r="I12330" s="3" t="inlineStr">
        <is>
          <t>답</t>
        </is>
      </c>
      <c r="J12330" s="3" t="inlineStr">
        <is>
          <t>남이면</t>
        </is>
      </c>
    </row>
    <row r="12331">
      <c r="A12331" s="3" t="n">
        <v>2022</v>
      </c>
      <c r="B12331" s="4" t="n">
        <v>75600</v>
      </c>
      <c r="C12331" s="4" t="n">
        <v>2175</v>
      </c>
      <c r="D12331" s="4" t="n">
        <v>657.9375</v>
      </c>
      <c r="E12331" s="5" t="n">
        <v>114.9</v>
      </c>
      <c r="F12331" s="3" t="inlineStr">
        <is>
          <t>남이면</t>
        </is>
      </c>
      <c r="G12331" s="3" t="inlineStr">
        <is>
          <t>가좌리</t>
        </is>
      </c>
      <c r="H12331" s="3" t="inlineStr">
        <is>
          <t>자연녹지지역</t>
        </is>
      </c>
      <c r="I12331" s="3" t="inlineStr">
        <is>
          <t>답</t>
        </is>
      </c>
      <c r="J12331" s="3" t="inlineStr">
        <is>
          <t>남이면</t>
        </is>
      </c>
    </row>
    <row r="12332">
      <c r="A12332" s="3" t="n">
        <v>2022</v>
      </c>
      <c r="B12332" s="4" t="n">
        <v>5000</v>
      </c>
      <c r="C12332" s="4" t="n">
        <v>200</v>
      </c>
      <c r="D12332" s="4" t="n">
        <v>60.5</v>
      </c>
      <c r="E12332" s="5" t="n">
        <v>82.59999999999999</v>
      </c>
      <c r="F12332" s="3" t="inlineStr">
        <is>
          <t>남이면</t>
        </is>
      </c>
      <c r="G12332" s="3" t="inlineStr">
        <is>
          <t>양촌리</t>
        </is>
      </c>
      <c r="H12332" s="3" t="inlineStr">
        <is>
          <t>자연녹지지역</t>
        </is>
      </c>
      <c r="I12332" s="3" t="inlineStr">
        <is>
          <t>전</t>
        </is>
      </c>
      <c r="J12332" s="3" t="inlineStr">
        <is>
          <t>남이면</t>
        </is>
      </c>
    </row>
    <row r="12333">
      <c r="A12333" s="3" t="n">
        <v>2026</v>
      </c>
      <c r="B12333" s="4" t="n">
        <v>5975</v>
      </c>
      <c r="C12333" s="4" t="n">
        <v>791</v>
      </c>
      <c r="D12333" s="4" t="n">
        <v>239.2775</v>
      </c>
      <c r="E12333" s="5" t="n">
        <v>25</v>
      </c>
      <c r="F12333" s="3" t="inlineStr">
        <is>
          <t>유구읍</t>
        </is>
      </c>
      <c r="G12333" s="3" t="inlineStr">
        <is>
          <t>동해리</t>
        </is>
      </c>
      <c r="H12333" s="3" t="inlineStr">
        <is>
          <t>계획관리지역</t>
        </is>
      </c>
      <c r="I12333" s="3" t="inlineStr">
        <is>
          <t>전</t>
        </is>
      </c>
      <c r="J12333" s="3" t="inlineStr">
        <is>
          <t>유구읍</t>
        </is>
      </c>
    </row>
    <row r="12334">
      <c r="A12334" s="3" t="n">
        <v>2026</v>
      </c>
      <c r="B12334" s="4" t="n">
        <v>600</v>
      </c>
      <c r="C12334" s="4" t="n">
        <v>149</v>
      </c>
      <c r="D12334" s="4" t="n">
        <v>45.0725</v>
      </c>
      <c r="E12334" s="5" t="n">
        <v>13.3</v>
      </c>
      <c r="F12334" s="3" t="inlineStr">
        <is>
          <t>유구읍</t>
        </is>
      </c>
      <c r="G12334" s="3" t="inlineStr">
        <is>
          <t>명곡리</t>
        </is>
      </c>
      <c r="H12334" s="3" t="inlineStr">
        <is>
          <t>계획관리지역</t>
        </is>
      </c>
      <c r="I12334" s="3" t="inlineStr">
        <is>
          <t>전</t>
        </is>
      </c>
      <c r="J12334" s="3" t="inlineStr">
        <is>
          <t>유구읍</t>
        </is>
      </c>
    </row>
    <row r="12335">
      <c r="A12335" s="3" t="n">
        <v>2022</v>
      </c>
      <c r="B12335" s="4" t="n">
        <v>15000</v>
      </c>
      <c r="C12335" s="4" t="n">
        <v>155</v>
      </c>
      <c r="D12335" s="4" t="n">
        <v>46.8875</v>
      </c>
      <c r="E12335" s="5" t="n">
        <v>319.9</v>
      </c>
      <c r="F12335" s="3" t="inlineStr">
        <is>
          <t>조치원읍</t>
        </is>
      </c>
      <c r="G12335" s="3" t="inlineStr">
        <is>
          <t>명리</t>
        </is>
      </c>
      <c r="H12335" s="3" t="inlineStr">
        <is>
          <t>단독다가구</t>
        </is>
      </c>
      <c r="I12335" s="3" t="inlineStr">
        <is>
          <t>단독</t>
        </is>
      </c>
      <c r="J12335" s="3" t="inlineStr">
        <is>
          <t>조치원읍</t>
        </is>
      </c>
    </row>
    <row r="12336">
      <c r="A12336" s="3" t="n">
        <v>2023</v>
      </c>
      <c r="B12336" s="4" t="n">
        <v>30000</v>
      </c>
      <c r="C12336" s="4" t="n">
        <v>154</v>
      </c>
      <c r="D12336" s="4" t="n">
        <v>46.585</v>
      </c>
      <c r="E12336" s="5" t="n">
        <v>644</v>
      </c>
      <c r="F12336" s="3" t="inlineStr">
        <is>
          <t>금남면</t>
        </is>
      </c>
      <c r="G12336" s="3" t="inlineStr">
        <is>
          <t>박산리</t>
        </is>
      </c>
      <c r="H12336" s="3" t="inlineStr">
        <is>
          <t>단독다가구</t>
        </is>
      </c>
      <c r="I12336" s="3" t="inlineStr">
        <is>
          <t>단독</t>
        </is>
      </c>
      <c r="J12336" s="3" t="inlineStr">
        <is>
          <t>금남면</t>
        </is>
      </c>
    </row>
    <row r="12337">
      <c r="A12337" s="3" t="n">
        <v>2023</v>
      </c>
      <c r="B12337" s="4" t="n">
        <v>45000</v>
      </c>
      <c r="C12337" s="4" t="n">
        <v>344</v>
      </c>
      <c r="D12337" s="4" t="n">
        <v>104.06</v>
      </c>
      <c r="E12337" s="5" t="n">
        <v>432.4</v>
      </c>
      <c r="F12337" s="3" t="inlineStr">
        <is>
          <t>조치원읍</t>
        </is>
      </c>
      <c r="G12337" s="3" t="inlineStr">
        <is>
          <t>신안리</t>
        </is>
      </c>
      <c r="H12337" s="3" t="inlineStr">
        <is>
          <t>단독다가구</t>
        </is>
      </c>
      <c r="I12337" s="3" t="inlineStr">
        <is>
          <t>단독</t>
        </is>
      </c>
      <c r="J12337" s="3" t="inlineStr">
        <is>
          <t>조치원읍</t>
        </is>
      </c>
    </row>
    <row r="12338">
      <c r="A12338" s="3" t="n">
        <v>2023</v>
      </c>
      <c r="B12338" s="4" t="n">
        <v>89840</v>
      </c>
      <c r="C12338" s="4" t="n">
        <v>1430</v>
      </c>
      <c r="D12338" s="4" t="n">
        <v>432.575</v>
      </c>
      <c r="E12338" s="5" t="n">
        <v>207.7</v>
      </c>
      <c r="F12338" s="3" t="inlineStr">
        <is>
          <t>금남면</t>
        </is>
      </c>
      <c r="G12338" s="3" t="inlineStr">
        <is>
          <t>원봉리</t>
        </is>
      </c>
      <c r="H12338" s="3" t="inlineStr">
        <is>
          <t>단독다가구</t>
        </is>
      </c>
      <c r="I12338" s="3" t="inlineStr">
        <is>
          <t>단독</t>
        </is>
      </c>
      <c r="J12338" s="3" t="inlineStr">
        <is>
          <t>금남면</t>
        </is>
      </c>
    </row>
    <row r="12339">
      <c r="A12339" s="3" t="n">
        <v>2023</v>
      </c>
      <c r="B12339" s="4" t="n">
        <v>105500</v>
      </c>
      <c r="C12339" s="4" t="n">
        <v>804</v>
      </c>
      <c r="D12339" s="4" t="n">
        <v>243.21</v>
      </c>
      <c r="E12339" s="5" t="n">
        <v>433.8</v>
      </c>
      <c r="F12339" s="3" t="inlineStr">
        <is>
          <t>장군면</t>
        </is>
      </c>
      <c r="G12339" s="3" t="inlineStr">
        <is>
          <t>금암리</t>
        </is>
      </c>
      <c r="H12339" s="3" t="inlineStr">
        <is>
          <t>단독다가구</t>
        </is>
      </c>
      <c r="I12339" s="3" t="inlineStr">
        <is>
          <t>단독</t>
        </is>
      </c>
      <c r="J12339" s="3" t="inlineStr">
        <is>
          <t>장군면</t>
        </is>
      </c>
    </row>
    <row r="12340">
      <c r="A12340" s="3" t="n">
        <v>2023</v>
      </c>
      <c r="B12340" s="4" t="n">
        <v>42000</v>
      </c>
      <c r="C12340" s="4" t="n">
        <v>570</v>
      </c>
      <c r="D12340" s="4" t="n">
        <v>172.425</v>
      </c>
      <c r="E12340" s="5" t="n">
        <v>243.6</v>
      </c>
      <c r="F12340" s="3" t="inlineStr">
        <is>
          <t>금남면</t>
        </is>
      </c>
      <c r="G12340" s="3" t="inlineStr">
        <is>
          <t>용담리</t>
        </is>
      </c>
      <c r="H12340" s="3" t="inlineStr">
        <is>
          <t>단독다가구</t>
        </is>
      </c>
      <c r="I12340" s="3" t="inlineStr">
        <is>
          <t>단독</t>
        </is>
      </c>
      <c r="J12340" s="3" t="inlineStr">
        <is>
          <t>금남면</t>
        </is>
      </c>
    </row>
    <row r="12341">
      <c r="A12341" s="3" t="n">
        <v>2023</v>
      </c>
      <c r="B12341" s="4" t="n">
        <v>111500</v>
      </c>
      <c r="C12341" s="4" t="n">
        <v>308.7</v>
      </c>
      <c r="D12341" s="4" t="n">
        <v>93.38175</v>
      </c>
      <c r="E12341" s="5" t="n">
        <v>1194</v>
      </c>
      <c r="F12341" s="3" t="inlineStr">
        <is>
          <t>다정동</t>
        </is>
      </c>
      <c r="G12341" s="3" t="inlineStr"/>
      <c r="H12341" s="3" t="inlineStr">
        <is>
          <t>단독다가구</t>
        </is>
      </c>
      <c r="I12341" s="3" t="inlineStr">
        <is>
          <t>단독</t>
        </is>
      </c>
      <c r="J12341" s="3" t="inlineStr">
        <is>
          <t>다정동</t>
        </is>
      </c>
    </row>
    <row r="12342">
      <c r="A12342" s="3" t="n">
        <v>2023</v>
      </c>
      <c r="B12342" s="4" t="n">
        <v>50200</v>
      </c>
      <c r="C12342" s="4" t="n">
        <v>710</v>
      </c>
      <c r="D12342" s="4" t="n">
        <v>214.775</v>
      </c>
      <c r="E12342" s="5" t="n">
        <v>233.7</v>
      </c>
      <c r="F12342" s="3" t="inlineStr">
        <is>
          <t>장군면</t>
        </is>
      </c>
      <c r="G12342" s="3" t="inlineStr">
        <is>
          <t>봉안리</t>
        </is>
      </c>
      <c r="H12342" s="3" t="inlineStr">
        <is>
          <t>단독다가구</t>
        </is>
      </c>
      <c r="I12342" s="3" t="inlineStr">
        <is>
          <t>단독</t>
        </is>
      </c>
      <c r="J12342" s="3" t="inlineStr">
        <is>
          <t>장군면</t>
        </is>
      </c>
    </row>
    <row r="12343">
      <c r="A12343" s="3" t="n">
        <v>2023</v>
      </c>
      <c r="B12343" s="4" t="n">
        <v>20000</v>
      </c>
      <c r="C12343" s="4" t="n">
        <v>365</v>
      </c>
      <c r="D12343" s="4" t="n">
        <v>110.4125</v>
      </c>
      <c r="E12343" s="5" t="n">
        <v>181.1</v>
      </c>
      <c r="F12343" s="3" t="inlineStr">
        <is>
          <t>장군면</t>
        </is>
      </c>
      <c r="G12343" s="3" t="inlineStr">
        <is>
          <t>대교리</t>
        </is>
      </c>
      <c r="H12343" s="3" t="inlineStr">
        <is>
          <t>단독다가구</t>
        </is>
      </c>
      <c r="I12343" s="3" t="inlineStr">
        <is>
          <t>단독</t>
        </is>
      </c>
      <c r="J12343" s="3" t="inlineStr">
        <is>
          <t>장군면</t>
        </is>
      </c>
    </row>
    <row r="12344">
      <c r="A12344" s="3" t="n">
        <v>2024</v>
      </c>
      <c r="B12344" s="4" t="n">
        <v>10000</v>
      </c>
      <c r="C12344" s="4" t="n">
        <v>429</v>
      </c>
      <c r="D12344" s="4" t="n">
        <v>129.7725</v>
      </c>
      <c r="E12344" s="5" t="n">
        <v>77.09999999999999</v>
      </c>
      <c r="F12344" s="3" t="inlineStr">
        <is>
          <t>연서면</t>
        </is>
      </c>
      <c r="G12344" s="3" t="inlineStr">
        <is>
          <t>와촌리</t>
        </is>
      </c>
      <c r="H12344" s="3" t="inlineStr">
        <is>
          <t>단독다가구</t>
        </is>
      </c>
      <c r="I12344" s="3" t="inlineStr">
        <is>
          <t>단독</t>
        </is>
      </c>
      <c r="J12344" s="3" t="inlineStr">
        <is>
          <t>연서면</t>
        </is>
      </c>
    </row>
    <row r="12345">
      <c r="A12345" s="3" t="n">
        <v>2024</v>
      </c>
      <c r="B12345" s="4" t="n">
        <v>19300</v>
      </c>
      <c r="C12345" s="4" t="n">
        <v>265</v>
      </c>
      <c r="D12345" s="4" t="n">
        <v>80.16249999999999</v>
      </c>
      <c r="E12345" s="5" t="n">
        <v>240.8</v>
      </c>
      <c r="F12345" s="3" t="inlineStr">
        <is>
          <t>부강면</t>
        </is>
      </c>
      <c r="G12345" s="3" t="inlineStr">
        <is>
          <t>문곡리</t>
        </is>
      </c>
      <c r="H12345" s="3" t="inlineStr">
        <is>
          <t>단독다가구</t>
        </is>
      </c>
      <c r="I12345" s="3" t="inlineStr">
        <is>
          <t>단독</t>
        </is>
      </c>
      <c r="J12345" s="3" t="inlineStr">
        <is>
          <t>부강면</t>
        </is>
      </c>
    </row>
    <row r="12346">
      <c r="A12346" s="3" t="n">
        <v>2024</v>
      </c>
      <c r="B12346" s="4" t="n">
        <v>23000</v>
      </c>
      <c r="C12346" s="4" t="n">
        <v>142</v>
      </c>
      <c r="D12346" s="4" t="n">
        <v>42.955</v>
      </c>
      <c r="E12346" s="5" t="n">
        <v>535.4</v>
      </c>
      <c r="F12346" s="3" t="inlineStr">
        <is>
          <t>조치원읍</t>
        </is>
      </c>
      <c r="G12346" s="3" t="inlineStr">
        <is>
          <t>남리</t>
        </is>
      </c>
      <c r="H12346" s="3" t="inlineStr">
        <is>
          <t>단독다가구</t>
        </is>
      </c>
      <c r="I12346" s="3" t="inlineStr">
        <is>
          <t>단독</t>
        </is>
      </c>
      <c r="J12346" s="3" t="inlineStr">
        <is>
          <t>조치원읍</t>
        </is>
      </c>
    </row>
    <row r="12347">
      <c r="A12347" s="3" t="n">
        <v>2024</v>
      </c>
      <c r="B12347" s="4" t="n">
        <v>31500</v>
      </c>
      <c r="C12347" s="4" t="n">
        <v>257.8</v>
      </c>
      <c r="D12347" s="4" t="n">
        <v>77.9845</v>
      </c>
      <c r="E12347" s="5" t="n">
        <v>403.9</v>
      </c>
      <c r="F12347" s="3" t="inlineStr">
        <is>
          <t>조치원읍</t>
        </is>
      </c>
      <c r="G12347" s="3" t="inlineStr">
        <is>
          <t>교리</t>
        </is>
      </c>
      <c r="H12347" s="3" t="inlineStr">
        <is>
          <t>단독다가구</t>
        </is>
      </c>
      <c r="I12347" s="3" t="inlineStr">
        <is>
          <t>단독</t>
        </is>
      </c>
      <c r="J12347" s="3" t="inlineStr">
        <is>
          <t>조치원읍</t>
        </is>
      </c>
    </row>
    <row r="12348">
      <c r="A12348" s="3" t="n">
        <v>2024</v>
      </c>
      <c r="B12348" s="4" t="n">
        <v>10080</v>
      </c>
      <c r="C12348" s="4" t="n">
        <v>388</v>
      </c>
      <c r="D12348" s="4" t="n">
        <v>117.37</v>
      </c>
      <c r="E12348" s="5" t="n">
        <v>85.90000000000001</v>
      </c>
      <c r="F12348" s="3" t="inlineStr">
        <is>
          <t>전의면</t>
        </is>
      </c>
      <c r="G12348" s="3" t="inlineStr">
        <is>
          <t>신방리</t>
        </is>
      </c>
      <c r="H12348" s="3" t="inlineStr">
        <is>
          <t>단독다가구</t>
        </is>
      </c>
      <c r="I12348" s="3" t="inlineStr">
        <is>
          <t>단독</t>
        </is>
      </c>
      <c r="J12348" s="3" t="inlineStr">
        <is>
          <t>전의면</t>
        </is>
      </c>
    </row>
    <row r="12349">
      <c r="A12349" s="3" t="n">
        <v>2024</v>
      </c>
      <c r="B12349" s="4" t="n">
        <v>30000</v>
      </c>
      <c r="C12349" s="4" t="n">
        <v>669</v>
      </c>
      <c r="D12349" s="4" t="n">
        <v>202.3725</v>
      </c>
      <c r="E12349" s="5" t="n">
        <v>148.2</v>
      </c>
      <c r="F12349" s="3" t="inlineStr">
        <is>
          <t>금남면</t>
        </is>
      </c>
      <c r="G12349" s="3" t="inlineStr">
        <is>
          <t>영치리</t>
        </is>
      </c>
      <c r="H12349" s="3" t="inlineStr">
        <is>
          <t>단독다가구</t>
        </is>
      </c>
      <c r="I12349" s="3" t="inlineStr">
        <is>
          <t>단독</t>
        </is>
      </c>
      <c r="J12349" s="3" t="inlineStr">
        <is>
          <t>금남면</t>
        </is>
      </c>
    </row>
    <row r="12350">
      <c r="A12350" s="3" t="n">
        <v>2024</v>
      </c>
      <c r="B12350" s="4" t="n">
        <v>13000</v>
      </c>
      <c r="C12350" s="4" t="n">
        <v>461</v>
      </c>
      <c r="D12350" s="4" t="n">
        <v>139.4525</v>
      </c>
      <c r="E12350" s="5" t="n">
        <v>93.2</v>
      </c>
      <c r="F12350" s="3" t="inlineStr">
        <is>
          <t>부강면</t>
        </is>
      </c>
      <c r="G12350" s="3" t="inlineStr">
        <is>
          <t>등곡리</t>
        </is>
      </c>
      <c r="H12350" s="3" t="inlineStr">
        <is>
          <t>단독다가구</t>
        </is>
      </c>
      <c r="I12350" s="3" t="inlineStr">
        <is>
          <t>단독</t>
        </is>
      </c>
      <c r="J12350" s="3" t="inlineStr">
        <is>
          <t>부강면</t>
        </is>
      </c>
    </row>
    <row r="12351">
      <c r="A12351" s="3" t="n">
        <v>2024</v>
      </c>
      <c r="B12351" s="4" t="n">
        <v>35720</v>
      </c>
      <c r="C12351" s="4" t="n">
        <v>621</v>
      </c>
      <c r="D12351" s="4" t="n">
        <v>187.8525</v>
      </c>
      <c r="E12351" s="5" t="n">
        <v>190.1</v>
      </c>
      <c r="F12351" s="3" t="inlineStr">
        <is>
          <t>부강면</t>
        </is>
      </c>
      <c r="G12351" s="3" t="inlineStr">
        <is>
          <t>부강리</t>
        </is>
      </c>
      <c r="H12351" s="3" t="inlineStr">
        <is>
          <t>단독다가구</t>
        </is>
      </c>
      <c r="I12351" s="3" t="inlineStr">
        <is>
          <t>단독</t>
        </is>
      </c>
      <c r="J12351" s="3" t="inlineStr">
        <is>
          <t>부강면</t>
        </is>
      </c>
    </row>
    <row r="12352">
      <c r="A12352" s="3" t="n">
        <v>2024</v>
      </c>
      <c r="B12352" s="4" t="n">
        <v>76350</v>
      </c>
      <c r="C12352" s="4" t="n">
        <v>504</v>
      </c>
      <c r="D12352" s="4" t="n">
        <v>152.46</v>
      </c>
      <c r="E12352" s="5" t="n">
        <v>500.8</v>
      </c>
      <c r="F12352" s="3" t="inlineStr">
        <is>
          <t>장군면</t>
        </is>
      </c>
      <c r="G12352" s="3" t="inlineStr">
        <is>
          <t>도계리</t>
        </is>
      </c>
      <c r="H12352" s="3" t="inlineStr">
        <is>
          <t>단독다가구</t>
        </is>
      </c>
      <c r="I12352" s="3" t="inlineStr">
        <is>
          <t>다가구</t>
        </is>
      </c>
      <c r="J12352" s="3" t="inlineStr">
        <is>
          <t>장군면</t>
        </is>
      </c>
    </row>
    <row r="12353">
      <c r="A12353" s="3" t="n">
        <v>2024</v>
      </c>
      <c r="B12353" s="4" t="n">
        <v>4800</v>
      </c>
      <c r="C12353" s="4" t="n">
        <v>133</v>
      </c>
      <c r="D12353" s="4" t="n">
        <v>40.2325</v>
      </c>
      <c r="E12353" s="5" t="n">
        <v>119.3</v>
      </c>
      <c r="F12353" s="3" t="inlineStr">
        <is>
          <t>전동면</t>
        </is>
      </c>
      <c r="G12353" s="3" t="inlineStr">
        <is>
          <t>노장리</t>
        </is>
      </c>
      <c r="H12353" s="3" t="inlineStr">
        <is>
          <t>단독다가구</t>
        </is>
      </c>
      <c r="I12353" s="3" t="inlineStr">
        <is>
          <t>단독</t>
        </is>
      </c>
      <c r="J12353" s="3" t="inlineStr">
        <is>
          <t>전동면</t>
        </is>
      </c>
    </row>
    <row r="12354">
      <c r="A12354" s="3" t="n">
        <v>2024</v>
      </c>
      <c r="B12354" s="4" t="n">
        <v>15000</v>
      </c>
      <c r="C12354" s="4" t="n">
        <v>189</v>
      </c>
      <c r="D12354" s="4" t="n">
        <v>57.1725</v>
      </c>
      <c r="E12354" s="5" t="n">
        <v>262.4</v>
      </c>
      <c r="F12354" s="3" t="inlineStr">
        <is>
          <t>조치원읍</t>
        </is>
      </c>
      <c r="G12354" s="3" t="inlineStr">
        <is>
          <t>죽림리</t>
        </is>
      </c>
      <c r="H12354" s="3" t="inlineStr">
        <is>
          <t>단독다가구</t>
        </is>
      </c>
      <c r="I12354" s="3" t="inlineStr">
        <is>
          <t>단독</t>
        </is>
      </c>
      <c r="J12354" s="3" t="inlineStr">
        <is>
          <t>조치원읍</t>
        </is>
      </c>
    </row>
    <row r="12355">
      <c r="A12355" s="3" t="n">
        <v>2024</v>
      </c>
      <c r="B12355" s="4" t="n">
        <v>52600</v>
      </c>
      <c r="C12355" s="4" t="n">
        <v>375</v>
      </c>
      <c r="D12355" s="4" t="n">
        <v>113.4375</v>
      </c>
      <c r="E12355" s="5" t="n">
        <v>463.7</v>
      </c>
      <c r="F12355" s="3" t="inlineStr">
        <is>
          <t>금남면</t>
        </is>
      </c>
      <c r="G12355" s="3" t="inlineStr">
        <is>
          <t>대박리</t>
        </is>
      </c>
      <c r="H12355" s="3" t="inlineStr">
        <is>
          <t>단독다가구</t>
        </is>
      </c>
      <c r="I12355" s="3" t="inlineStr">
        <is>
          <t>단독</t>
        </is>
      </c>
      <c r="J12355" s="3" t="inlineStr">
        <is>
          <t>금남면</t>
        </is>
      </c>
    </row>
    <row r="12356">
      <c r="A12356" s="3" t="n">
        <v>2024</v>
      </c>
      <c r="B12356" s="4" t="n">
        <v>29000</v>
      </c>
      <c r="C12356" s="4" t="n">
        <v>638</v>
      </c>
      <c r="D12356" s="4" t="n">
        <v>192.995</v>
      </c>
      <c r="E12356" s="5" t="n">
        <v>150.3</v>
      </c>
      <c r="F12356" s="3" t="inlineStr">
        <is>
          <t>부강면</t>
        </is>
      </c>
      <c r="G12356" s="3" t="inlineStr">
        <is>
          <t>부강리</t>
        </is>
      </c>
      <c r="H12356" s="3" t="inlineStr">
        <is>
          <t>단독다가구</t>
        </is>
      </c>
      <c r="I12356" s="3" t="inlineStr">
        <is>
          <t>단독</t>
        </is>
      </c>
      <c r="J12356" s="3" t="inlineStr">
        <is>
          <t>부강면</t>
        </is>
      </c>
    </row>
    <row r="12357">
      <c r="A12357" s="3" t="n">
        <v>2024</v>
      </c>
      <c r="B12357" s="4" t="n">
        <v>39000</v>
      </c>
      <c r="C12357" s="4" t="n">
        <v>343</v>
      </c>
      <c r="D12357" s="4" t="n">
        <v>103.7575</v>
      </c>
      <c r="E12357" s="5" t="n">
        <v>375.9</v>
      </c>
      <c r="F12357" s="3" t="inlineStr">
        <is>
          <t>조치원읍</t>
        </is>
      </c>
      <c r="G12357" s="3" t="inlineStr">
        <is>
          <t>신안리</t>
        </is>
      </c>
      <c r="H12357" s="3" t="inlineStr">
        <is>
          <t>단독다가구</t>
        </is>
      </c>
      <c r="I12357" s="3" t="inlineStr">
        <is>
          <t>단독</t>
        </is>
      </c>
      <c r="J12357" s="3" t="inlineStr">
        <is>
          <t>조치원읍</t>
        </is>
      </c>
    </row>
    <row r="12358">
      <c r="A12358" s="3" t="n">
        <v>2024</v>
      </c>
      <c r="B12358" s="4" t="n">
        <v>11772</v>
      </c>
      <c r="C12358" s="4" t="n">
        <v>313</v>
      </c>
      <c r="D12358" s="4" t="n">
        <v>94.68249999999999</v>
      </c>
      <c r="E12358" s="5" t="n">
        <v>124.3</v>
      </c>
      <c r="F12358" s="3" t="inlineStr">
        <is>
          <t>소정면</t>
        </is>
      </c>
      <c r="G12358" s="3" t="inlineStr">
        <is>
          <t>소정리</t>
        </is>
      </c>
      <c r="H12358" s="3" t="inlineStr">
        <is>
          <t>단독다가구</t>
        </is>
      </c>
      <c r="I12358" s="3" t="inlineStr">
        <is>
          <t>단독</t>
        </is>
      </c>
      <c r="J12358" s="3" t="inlineStr">
        <is>
          <t>소정면</t>
        </is>
      </c>
    </row>
    <row r="12359">
      <c r="A12359" s="3" t="n">
        <v>2024</v>
      </c>
      <c r="B12359" s="4" t="n">
        <v>9000</v>
      </c>
      <c r="C12359" s="4" t="n">
        <v>707</v>
      </c>
      <c r="D12359" s="4" t="n">
        <v>213.8675</v>
      </c>
      <c r="E12359" s="5" t="n">
        <v>42.1</v>
      </c>
      <c r="F12359" s="3" t="inlineStr">
        <is>
          <t>전의면</t>
        </is>
      </c>
      <c r="G12359" s="3" t="inlineStr">
        <is>
          <t>유천리</t>
        </is>
      </c>
      <c r="H12359" s="3" t="inlineStr">
        <is>
          <t>단독다가구</t>
        </is>
      </c>
      <c r="I12359" s="3" t="inlineStr">
        <is>
          <t>단독</t>
        </is>
      </c>
      <c r="J12359" s="3" t="inlineStr">
        <is>
          <t>전의면</t>
        </is>
      </c>
    </row>
    <row r="12360">
      <c r="A12360" s="3" t="n">
        <v>2024</v>
      </c>
      <c r="B12360" s="4" t="n">
        <v>59000</v>
      </c>
      <c r="C12360" s="4" t="n">
        <v>226.4</v>
      </c>
      <c r="D12360" s="4" t="n">
        <v>68.486</v>
      </c>
      <c r="E12360" s="5" t="n">
        <v>861.5</v>
      </c>
      <c r="F12360" s="3" t="inlineStr">
        <is>
          <t>조치원읍</t>
        </is>
      </c>
      <c r="G12360" s="3" t="inlineStr">
        <is>
          <t>침산리</t>
        </is>
      </c>
      <c r="H12360" s="3" t="inlineStr">
        <is>
          <t>단독다가구</t>
        </is>
      </c>
      <c r="I12360" s="3" t="inlineStr">
        <is>
          <t>다가구</t>
        </is>
      </c>
      <c r="J12360" s="3" t="inlineStr">
        <is>
          <t>조치원읍</t>
        </is>
      </c>
    </row>
    <row r="12361">
      <c r="A12361" s="3" t="n">
        <v>2024</v>
      </c>
      <c r="B12361" s="4" t="n">
        <v>54500</v>
      </c>
      <c r="C12361" s="4" t="n">
        <v>395</v>
      </c>
      <c r="D12361" s="4" t="n">
        <v>119.4875</v>
      </c>
      <c r="E12361" s="5" t="n">
        <v>456.1</v>
      </c>
      <c r="F12361" s="3" t="inlineStr">
        <is>
          <t>금남면</t>
        </is>
      </c>
      <c r="G12361" s="3" t="inlineStr">
        <is>
          <t>대박리</t>
        </is>
      </c>
      <c r="H12361" s="3" t="inlineStr">
        <is>
          <t>단독다가구</t>
        </is>
      </c>
      <c r="I12361" s="3" t="inlineStr">
        <is>
          <t>단독</t>
        </is>
      </c>
      <c r="J12361" s="3" t="inlineStr">
        <is>
          <t>금남면</t>
        </is>
      </c>
    </row>
    <row r="12362">
      <c r="A12362" s="3" t="n">
        <v>2024</v>
      </c>
      <c r="B12362" s="4" t="n">
        <v>72000</v>
      </c>
      <c r="C12362" s="4" t="n">
        <v>245.6</v>
      </c>
      <c r="D12362" s="4" t="n">
        <v>74.294</v>
      </c>
      <c r="E12362" s="5" t="n">
        <v>969.1</v>
      </c>
      <c r="F12362" s="3" t="inlineStr">
        <is>
          <t>조치원읍</t>
        </is>
      </c>
      <c r="G12362" s="3" t="inlineStr">
        <is>
          <t>침산리</t>
        </is>
      </c>
      <c r="H12362" s="3" t="inlineStr">
        <is>
          <t>단독다가구</t>
        </is>
      </c>
      <c r="I12362" s="3" t="inlineStr">
        <is>
          <t>다가구</t>
        </is>
      </c>
      <c r="J12362" s="3" t="inlineStr">
        <is>
          <t>조치원읍</t>
        </is>
      </c>
    </row>
    <row r="12363">
      <c r="A12363" s="3" t="n">
        <v>2024</v>
      </c>
      <c r="B12363" s="4" t="n">
        <v>67000</v>
      </c>
      <c r="C12363" s="4" t="n">
        <v>214.5</v>
      </c>
      <c r="D12363" s="4" t="n">
        <v>64.88625</v>
      </c>
      <c r="E12363" s="5" t="n">
        <v>1032.6</v>
      </c>
      <c r="F12363" s="3" t="inlineStr">
        <is>
          <t>조치원읍</t>
        </is>
      </c>
      <c r="G12363" s="3" t="inlineStr">
        <is>
          <t>침산리</t>
        </is>
      </c>
      <c r="H12363" s="3" t="inlineStr">
        <is>
          <t>단독다가구</t>
        </is>
      </c>
      <c r="I12363" s="3" t="inlineStr">
        <is>
          <t>다가구</t>
        </is>
      </c>
      <c r="J12363" s="3" t="inlineStr">
        <is>
          <t>조치원읍</t>
        </is>
      </c>
    </row>
    <row r="12364">
      <c r="A12364" s="3" t="n">
        <v>2024</v>
      </c>
      <c r="B12364" s="4" t="n">
        <v>10000</v>
      </c>
      <c r="C12364" s="4" t="n">
        <v>324</v>
      </c>
      <c r="D12364" s="4" t="n">
        <v>98.00999999999999</v>
      </c>
      <c r="E12364" s="5" t="n">
        <v>102</v>
      </c>
      <c r="F12364" s="3" t="inlineStr">
        <is>
          <t>연서면</t>
        </is>
      </c>
      <c r="G12364" s="3" t="inlineStr">
        <is>
          <t>기룡리</t>
        </is>
      </c>
      <c r="H12364" s="3" t="inlineStr">
        <is>
          <t>단독다가구</t>
        </is>
      </c>
      <c r="I12364" s="3" t="inlineStr">
        <is>
          <t>단독</t>
        </is>
      </c>
      <c r="J12364" s="3" t="inlineStr">
        <is>
          <t>연서면</t>
        </is>
      </c>
    </row>
    <row r="12365">
      <c r="A12365" s="3" t="n">
        <v>2024</v>
      </c>
      <c r="B12365" s="4" t="n">
        <v>8800</v>
      </c>
      <c r="C12365" s="4" t="n">
        <v>205</v>
      </c>
      <c r="D12365" s="4" t="n">
        <v>62.0125</v>
      </c>
      <c r="E12365" s="5" t="n">
        <v>141.9</v>
      </c>
      <c r="F12365" s="3" t="inlineStr">
        <is>
          <t>연서면</t>
        </is>
      </c>
      <c r="G12365" s="3" t="inlineStr">
        <is>
          <t>신대리</t>
        </is>
      </c>
      <c r="H12365" s="3" t="inlineStr">
        <is>
          <t>단독다가구</t>
        </is>
      </c>
      <c r="I12365" s="3" t="inlineStr">
        <is>
          <t>단독</t>
        </is>
      </c>
      <c r="J12365" s="3" t="inlineStr">
        <is>
          <t>연서면</t>
        </is>
      </c>
    </row>
    <row r="12366">
      <c r="A12366" s="3" t="n">
        <v>2024</v>
      </c>
      <c r="B12366" s="4" t="n">
        <v>6030</v>
      </c>
      <c r="C12366" s="4" t="n">
        <v>53</v>
      </c>
      <c r="D12366" s="4" t="n">
        <v>16.0325</v>
      </c>
      <c r="E12366" s="5" t="n">
        <v>376.1</v>
      </c>
      <c r="F12366" s="3" t="inlineStr">
        <is>
          <t>조치원읍</t>
        </is>
      </c>
      <c r="G12366" s="3" t="inlineStr">
        <is>
          <t>신흥리</t>
        </is>
      </c>
      <c r="H12366" s="3" t="inlineStr">
        <is>
          <t>단독다가구</t>
        </is>
      </c>
      <c r="I12366" s="3" t="inlineStr">
        <is>
          <t>단독</t>
        </is>
      </c>
      <c r="J12366" s="3" t="inlineStr">
        <is>
          <t>조치원읍</t>
        </is>
      </c>
    </row>
    <row r="12367">
      <c r="A12367" s="3" t="n">
        <v>2024</v>
      </c>
      <c r="B12367" s="4" t="n">
        <v>47500</v>
      </c>
      <c r="C12367" s="4" t="n">
        <v>450</v>
      </c>
      <c r="D12367" s="4" t="n">
        <v>136.125</v>
      </c>
      <c r="E12367" s="5" t="n">
        <v>348.9</v>
      </c>
      <c r="F12367" s="3" t="inlineStr">
        <is>
          <t>조치원읍</t>
        </is>
      </c>
      <c r="G12367" s="3" t="inlineStr">
        <is>
          <t>죽림리</t>
        </is>
      </c>
      <c r="H12367" s="3" t="inlineStr">
        <is>
          <t>단독다가구</t>
        </is>
      </c>
      <c r="I12367" s="3" t="inlineStr">
        <is>
          <t>단독</t>
        </is>
      </c>
      <c r="J12367" s="3" t="inlineStr">
        <is>
          <t>조치원읍</t>
        </is>
      </c>
    </row>
    <row r="12368">
      <c r="A12368" s="3" t="n">
        <v>2024</v>
      </c>
      <c r="B12368" s="4" t="n">
        <v>47000</v>
      </c>
      <c r="C12368" s="4" t="n">
        <v>595</v>
      </c>
      <c r="D12368" s="4" t="n">
        <v>179.9875</v>
      </c>
      <c r="E12368" s="5" t="n">
        <v>261.1</v>
      </c>
      <c r="F12368" s="3" t="inlineStr">
        <is>
          <t>전동면</t>
        </is>
      </c>
      <c r="G12368" s="3" t="inlineStr">
        <is>
          <t>송곡리</t>
        </is>
      </c>
      <c r="H12368" s="3" t="inlineStr">
        <is>
          <t>단독다가구</t>
        </is>
      </c>
      <c r="I12368" s="3" t="inlineStr">
        <is>
          <t>단독</t>
        </is>
      </c>
      <c r="J12368" s="3" t="inlineStr">
        <is>
          <t>전동면</t>
        </is>
      </c>
    </row>
    <row r="12369">
      <c r="A12369" s="3" t="n">
        <v>2024</v>
      </c>
      <c r="B12369" s="4" t="n">
        <v>8860</v>
      </c>
      <c r="C12369" s="4" t="n">
        <v>426</v>
      </c>
      <c r="D12369" s="4" t="n">
        <v>128.865</v>
      </c>
      <c r="E12369" s="5" t="n">
        <v>68.8</v>
      </c>
      <c r="F12369" s="3" t="inlineStr">
        <is>
          <t>소정면</t>
        </is>
      </c>
      <c r="G12369" s="3" t="inlineStr">
        <is>
          <t>고등리</t>
        </is>
      </c>
      <c r="H12369" s="3" t="inlineStr">
        <is>
          <t>단독다가구</t>
        </is>
      </c>
      <c r="I12369" s="3" t="inlineStr">
        <is>
          <t>단독</t>
        </is>
      </c>
      <c r="J12369" s="3" t="inlineStr">
        <is>
          <t>소정면</t>
        </is>
      </c>
    </row>
    <row r="12370">
      <c r="A12370" s="3" t="n">
        <v>2024</v>
      </c>
      <c r="B12370" s="4" t="n">
        <v>25000</v>
      </c>
      <c r="C12370" s="4" t="n">
        <v>201</v>
      </c>
      <c r="D12370" s="4" t="n">
        <v>60.80249999999999</v>
      </c>
      <c r="E12370" s="5" t="n">
        <v>411.2</v>
      </c>
      <c r="F12370" s="3" t="inlineStr">
        <is>
          <t>장군면</t>
        </is>
      </c>
      <c r="G12370" s="3" t="inlineStr">
        <is>
          <t>대교리</t>
        </is>
      </c>
      <c r="H12370" s="3" t="inlineStr">
        <is>
          <t>단독다가구</t>
        </is>
      </c>
      <c r="I12370" s="3" t="inlineStr">
        <is>
          <t>단독</t>
        </is>
      </c>
      <c r="J12370" s="3" t="inlineStr">
        <is>
          <t>장군면</t>
        </is>
      </c>
    </row>
    <row r="12371">
      <c r="A12371" s="3" t="n">
        <v>2024</v>
      </c>
      <c r="B12371" s="4" t="n">
        <v>40640</v>
      </c>
      <c r="C12371" s="4" t="n">
        <v>430</v>
      </c>
      <c r="D12371" s="4" t="n">
        <v>130.075</v>
      </c>
      <c r="E12371" s="5" t="n">
        <v>312.4</v>
      </c>
      <c r="F12371" s="3" t="inlineStr">
        <is>
          <t>금남면</t>
        </is>
      </c>
      <c r="G12371" s="3" t="inlineStr">
        <is>
          <t>도남리</t>
        </is>
      </c>
      <c r="H12371" s="3" t="inlineStr">
        <is>
          <t>단독다가구</t>
        </is>
      </c>
      <c r="I12371" s="3" t="inlineStr">
        <is>
          <t>단독</t>
        </is>
      </c>
      <c r="J12371" s="3" t="inlineStr">
        <is>
          <t>금남면</t>
        </is>
      </c>
    </row>
    <row r="12372">
      <c r="A12372" s="3" t="n">
        <v>2024</v>
      </c>
      <c r="B12372" s="4" t="n">
        <v>103000</v>
      </c>
      <c r="C12372" s="4" t="n">
        <v>313.9</v>
      </c>
      <c r="D12372" s="4" t="n">
        <v>94.95474999999999</v>
      </c>
      <c r="E12372" s="5" t="n">
        <v>1084.7</v>
      </c>
      <c r="F12372" s="3" t="inlineStr">
        <is>
          <t>조치원읍</t>
        </is>
      </c>
      <c r="G12372" s="3" t="inlineStr">
        <is>
          <t>교리</t>
        </is>
      </c>
      <c r="H12372" s="3" t="inlineStr">
        <is>
          <t>단독다가구</t>
        </is>
      </c>
      <c r="I12372" s="3" t="inlineStr">
        <is>
          <t>다가구</t>
        </is>
      </c>
      <c r="J12372" s="3" t="inlineStr">
        <is>
          <t>조치원읍</t>
        </is>
      </c>
    </row>
    <row r="12373">
      <c r="A12373" s="3" t="n">
        <v>2024</v>
      </c>
      <c r="B12373" s="4" t="n">
        <v>17000</v>
      </c>
      <c r="C12373" s="4" t="n">
        <v>132</v>
      </c>
      <c r="D12373" s="4" t="n">
        <v>39.93</v>
      </c>
      <c r="E12373" s="5" t="n">
        <v>425.7</v>
      </c>
      <c r="F12373" s="3" t="inlineStr">
        <is>
          <t>소정면</t>
        </is>
      </c>
      <c r="G12373" s="3" t="inlineStr">
        <is>
          <t>소정리</t>
        </is>
      </c>
      <c r="H12373" s="3" t="inlineStr">
        <is>
          <t>단독다가구</t>
        </is>
      </c>
      <c r="I12373" s="3" t="inlineStr">
        <is>
          <t>단독</t>
        </is>
      </c>
      <c r="J12373" s="3" t="inlineStr">
        <is>
          <t>소정면</t>
        </is>
      </c>
    </row>
    <row r="12374">
      <c r="A12374" s="3" t="n">
        <v>2024</v>
      </c>
      <c r="B12374" s="4" t="n">
        <v>69000</v>
      </c>
      <c r="C12374" s="4" t="n">
        <v>362</v>
      </c>
      <c r="D12374" s="4" t="n">
        <v>109.505</v>
      </c>
      <c r="E12374" s="5" t="n">
        <v>630.1</v>
      </c>
      <c r="F12374" s="3" t="inlineStr">
        <is>
          <t>금남면</t>
        </is>
      </c>
      <c r="G12374" s="3" t="inlineStr">
        <is>
          <t>도남리</t>
        </is>
      </c>
      <c r="H12374" s="3" t="inlineStr">
        <is>
          <t>단독다가구</t>
        </is>
      </c>
      <c r="I12374" s="3" t="inlineStr">
        <is>
          <t>단독</t>
        </is>
      </c>
      <c r="J12374" s="3" t="inlineStr">
        <is>
          <t>금남면</t>
        </is>
      </c>
    </row>
    <row r="12375">
      <c r="A12375" s="3" t="n">
        <v>2024</v>
      </c>
      <c r="B12375" s="4" t="n">
        <v>28400</v>
      </c>
      <c r="C12375" s="4" t="n">
        <v>214</v>
      </c>
      <c r="D12375" s="4" t="n">
        <v>64.735</v>
      </c>
      <c r="E12375" s="5" t="n">
        <v>438.7</v>
      </c>
      <c r="F12375" s="3" t="inlineStr">
        <is>
          <t>조치원읍</t>
        </is>
      </c>
      <c r="G12375" s="3" t="inlineStr">
        <is>
          <t>신안리</t>
        </is>
      </c>
      <c r="H12375" s="3" t="inlineStr">
        <is>
          <t>단독다가구</t>
        </is>
      </c>
      <c r="I12375" s="3" t="inlineStr">
        <is>
          <t>다가구</t>
        </is>
      </c>
      <c r="J12375" s="3" t="inlineStr">
        <is>
          <t>조치원읍</t>
        </is>
      </c>
    </row>
    <row r="12376">
      <c r="A12376" s="3" t="n">
        <v>2024</v>
      </c>
      <c r="B12376" s="4" t="n">
        <v>37500</v>
      </c>
      <c r="C12376" s="4" t="n">
        <v>165</v>
      </c>
      <c r="D12376" s="4" t="n">
        <v>49.9125</v>
      </c>
      <c r="E12376" s="5" t="n">
        <v>751.3</v>
      </c>
      <c r="F12376" s="3" t="inlineStr">
        <is>
          <t>금남면</t>
        </is>
      </c>
      <c r="G12376" s="3" t="inlineStr">
        <is>
          <t>용포리</t>
        </is>
      </c>
      <c r="H12376" s="3" t="inlineStr">
        <is>
          <t>단독다가구</t>
        </is>
      </c>
      <c r="I12376" s="3" t="inlineStr">
        <is>
          <t>단독</t>
        </is>
      </c>
      <c r="J12376" s="3" t="inlineStr">
        <is>
          <t>금남면</t>
        </is>
      </c>
    </row>
    <row r="12377">
      <c r="A12377" s="3" t="n">
        <v>2024</v>
      </c>
      <c r="B12377" s="4" t="n">
        <v>18000</v>
      </c>
      <c r="C12377" s="4" t="n">
        <v>294</v>
      </c>
      <c r="D12377" s="4" t="n">
        <v>88.935</v>
      </c>
      <c r="E12377" s="5" t="n">
        <v>202.4</v>
      </c>
      <c r="F12377" s="3" t="inlineStr">
        <is>
          <t>장군면</t>
        </is>
      </c>
      <c r="G12377" s="3" t="inlineStr">
        <is>
          <t>평기리</t>
        </is>
      </c>
      <c r="H12377" s="3" t="inlineStr">
        <is>
          <t>단독다가구</t>
        </is>
      </c>
      <c r="I12377" s="3" t="inlineStr">
        <is>
          <t>단독</t>
        </is>
      </c>
      <c r="J12377" s="3" t="inlineStr">
        <is>
          <t>장군면</t>
        </is>
      </c>
    </row>
    <row r="12378">
      <c r="A12378" s="3" t="n">
        <v>2024</v>
      </c>
      <c r="B12378" s="4" t="n">
        <v>15000</v>
      </c>
      <c r="C12378" s="4" t="n">
        <v>221</v>
      </c>
      <c r="D12378" s="4" t="n">
        <v>66.85249999999999</v>
      </c>
      <c r="E12378" s="5" t="n">
        <v>224.4</v>
      </c>
      <c r="F12378" s="3" t="inlineStr">
        <is>
          <t>조치원읍</t>
        </is>
      </c>
      <c r="G12378" s="3" t="inlineStr">
        <is>
          <t>서창리</t>
        </is>
      </c>
      <c r="H12378" s="3" t="inlineStr">
        <is>
          <t>단독다가구</t>
        </is>
      </c>
      <c r="I12378" s="3" t="inlineStr">
        <is>
          <t>단독</t>
        </is>
      </c>
      <c r="J12378" s="3" t="inlineStr">
        <is>
          <t>조치원읍</t>
        </is>
      </c>
    </row>
    <row r="12379">
      <c r="A12379" s="3" t="n">
        <v>2024</v>
      </c>
      <c r="B12379" s="4" t="n">
        <v>33600</v>
      </c>
      <c r="C12379" s="4" t="n">
        <v>551</v>
      </c>
      <c r="D12379" s="4" t="n">
        <v>166.6775</v>
      </c>
      <c r="E12379" s="5" t="n">
        <v>201.6</v>
      </c>
      <c r="F12379" s="3" t="inlineStr">
        <is>
          <t>장군면</t>
        </is>
      </c>
      <c r="G12379" s="3" t="inlineStr">
        <is>
          <t>금암리</t>
        </is>
      </c>
      <c r="H12379" s="3" t="inlineStr">
        <is>
          <t>단독다가구</t>
        </is>
      </c>
      <c r="I12379" s="3" t="inlineStr">
        <is>
          <t>단독</t>
        </is>
      </c>
      <c r="J12379" s="3" t="inlineStr">
        <is>
          <t>장군면</t>
        </is>
      </c>
    </row>
    <row r="12380">
      <c r="A12380" s="3" t="n">
        <v>2024</v>
      </c>
      <c r="B12380" s="4" t="n">
        <v>21000</v>
      </c>
      <c r="C12380" s="4" t="n">
        <v>252</v>
      </c>
      <c r="D12380" s="4" t="n">
        <v>76.23</v>
      </c>
      <c r="E12380" s="5" t="n">
        <v>275.5</v>
      </c>
      <c r="F12380" s="3" t="inlineStr">
        <is>
          <t>조치원읍</t>
        </is>
      </c>
      <c r="G12380" s="3" t="inlineStr">
        <is>
          <t>침산리</t>
        </is>
      </c>
      <c r="H12380" s="3" t="inlineStr">
        <is>
          <t>단독다가구</t>
        </is>
      </c>
      <c r="I12380" s="3" t="inlineStr">
        <is>
          <t>단독</t>
        </is>
      </c>
      <c r="J12380" s="3" t="inlineStr">
        <is>
          <t>조치원읍</t>
        </is>
      </c>
    </row>
    <row r="12381">
      <c r="A12381" s="3" t="n">
        <v>2025</v>
      </c>
      <c r="B12381" s="4" t="n">
        <v>12885</v>
      </c>
      <c r="C12381" s="4" t="n">
        <v>393</v>
      </c>
      <c r="D12381" s="4" t="n">
        <v>118.8825</v>
      </c>
      <c r="E12381" s="5" t="n">
        <v>108.4</v>
      </c>
      <c r="F12381" s="3" t="inlineStr">
        <is>
          <t>부강면</t>
        </is>
      </c>
      <c r="G12381" s="3" t="inlineStr">
        <is>
          <t>부강리</t>
        </is>
      </c>
      <c r="H12381" s="3" t="inlineStr">
        <is>
          <t>단독다가구</t>
        </is>
      </c>
      <c r="I12381" s="3" t="inlineStr">
        <is>
          <t>단독</t>
        </is>
      </c>
      <c r="J12381" s="3" t="inlineStr">
        <is>
          <t>부강면</t>
        </is>
      </c>
    </row>
    <row r="12382">
      <c r="A12382" s="3" t="n">
        <v>2025</v>
      </c>
      <c r="B12382" s="4" t="n">
        <v>54000</v>
      </c>
      <c r="C12382" s="4" t="n">
        <v>495</v>
      </c>
      <c r="D12382" s="4" t="n">
        <v>149.7375</v>
      </c>
      <c r="E12382" s="5" t="n">
        <v>360.6</v>
      </c>
      <c r="F12382" s="3" t="inlineStr">
        <is>
          <t>조치원읍</t>
        </is>
      </c>
      <c r="G12382" s="3" t="inlineStr">
        <is>
          <t>신안리</t>
        </is>
      </c>
      <c r="H12382" s="3" t="inlineStr">
        <is>
          <t>단독다가구</t>
        </is>
      </c>
      <c r="I12382" s="3" t="inlineStr">
        <is>
          <t>단독</t>
        </is>
      </c>
      <c r="J12382" s="3" t="inlineStr">
        <is>
          <t>조치원읍</t>
        </is>
      </c>
    </row>
    <row r="12383">
      <c r="A12383" s="3" t="n">
        <v>2025</v>
      </c>
      <c r="B12383" s="4" t="n">
        <v>18500</v>
      </c>
      <c r="C12383" s="4" t="n">
        <v>139</v>
      </c>
      <c r="D12383" s="4" t="n">
        <v>42.0475</v>
      </c>
      <c r="E12383" s="5" t="n">
        <v>440</v>
      </c>
      <c r="F12383" s="3" t="inlineStr">
        <is>
          <t>부강면</t>
        </is>
      </c>
      <c r="G12383" s="3" t="inlineStr">
        <is>
          <t>부강리</t>
        </is>
      </c>
      <c r="H12383" s="3" t="inlineStr">
        <is>
          <t>단독다가구</t>
        </is>
      </c>
      <c r="I12383" s="3" t="inlineStr">
        <is>
          <t>단독</t>
        </is>
      </c>
      <c r="J12383" s="3" t="inlineStr">
        <is>
          <t>부강면</t>
        </is>
      </c>
    </row>
    <row r="12384">
      <c r="A12384" s="3" t="n">
        <v>2025</v>
      </c>
      <c r="B12384" s="4" t="n">
        <v>19000</v>
      </c>
      <c r="C12384" s="4" t="n">
        <v>289</v>
      </c>
      <c r="D12384" s="4" t="n">
        <v>87.4225</v>
      </c>
      <c r="E12384" s="5" t="n">
        <v>217.3</v>
      </c>
      <c r="F12384" s="3" t="inlineStr">
        <is>
          <t>소정면</t>
        </is>
      </c>
      <c r="G12384" s="3" t="inlineStr">
        <is>
          <t>대곡리</t>
        </is>
      </c>
      <c r="H12384" s="3" t="inlineStr">
        <is>
          <t>단독다가구</t>
        </is>
      </c>
      <c r="I12384" s="3" t="inlineStr">
        <is>
          <t>단독</t>
        </is>
      </c>
      <c r="J12384" s="3" t="inlineStr">
        <is>
          <t>소정면</t>
        </is>
      </c>
    </row>
    <row r="12385">
      <c r="A12385" s="3" t="n">
        <v>2025</v>
      </c>
      <c r="B12385" s="4" t="n">
        <v>30000</v>
      </c>
      <c r="C12385" s="4" t="n">
        <v>343</v>
      </c>
      <c r="D12385" s="4" t="n">
        <v>103.7575</v>
      </c>
      <c r="E12385" s="5" t="n">
        <v>289.1</v>
      </c>
      <c r="F12385" s="3" t="inlineStr">
        <is>
          <t>조치원읍</t>
        </is>
      </c>
      <c r="G12385" s="3" t="inlineStr">
        <is>
          <t>신안리</t>
        </is>
      </c>
      <c r="H12385" s="3" t="inlineStr">
        <is>
          <t>단독다가구</t>
        </is>
      </c>
      <c r="I12385" s="3" t="inlineStr">
        <is>
          <t>단독</t>
        </is>
      </c>
      <c r="J12385" s="3" t="inlineStr">
        <is>
          <t>조치원읍</t>
        </is>
      </c>
    </row>
    <row r="12386">
      <c r="A12386" s="3" t="n">
        <v>2024</v>
      </c>
      <c r="B12386" s="4" t="n">
        <v>12000</v>
      </c>
      <c r="C12386" s="4" t="n">
        <v>324</v>
      </c>
      <c r="D12386" s="4" t="n">
        <v>98.00999999999999</v>
      </c>
      <c r="E12386" s="5" t="n">
        <v>122.4</v>
      </c>
      <c r="F12386" s="3" t="inlineStr">
        <is>
          <t>소정면</t>
        </is>
      </c>
      <c r="G12386" s="3" t="inlineStr">
        <is>
          <t>소정리</t>
        </is>
      </c>
      <c r="H12386" s="3" t="inlineStr">
        <is>
          <t>단독다가구</t>
        </is>
      </c>
      <c r="I12386" s="3" t="inlineStr">
        <is>
          <t>단독</t>
        </is>
      </c>
      <c r="J12386" s="3" t="inlineStr">
        <is>
          <t>소정면</t>
        </is>
      </c>
    </row>
    <row r="12387">
      <c r="A12387" s="3" t="n">
        <v>2024</v>
      </c>
      <c r="B12387" s="4" t="n">
        <v>10000</v>
      </c>
      <c r="C12387" s="4" t="n">
        <v>59</v>
      </c>
      <c r="D12387" s="4" t="n">
        <v>17.8475</v>
      </c>
      <c r="E12387" s="5" t="n">
        <v>560.3</v>
      </c>
      <c r="F12387" s="3" t="inlineStr">
        <is>
          <t>금남면</t>
        </is>
      </c>
      <c r="G12387" s="3" t="inlineStr">
        <is>
          <t>용포리</t>
        </is>
      </c>
      <c r="H12387" s="3" t="inlineStr">
        <is>
          <t>단독다가구</t>
        </is>
      </c>
      <c r="I12387" s="3" t="inlineStr">
        <is>
          <t>단독</t>
        </is>
      </c>
      <c r="J12387" s="3" t="inlineStr">
        <is>
          <t>금남면</t>
        </is>
      </c>
    </row>
    <row r="12388">
      <c r="A12388" s="3" t="n">
        <v>2024</v>
      </c>
      <c r="B12388" s="4" t="n">
        <v>48540</v>
      </c>
      <c r="C12388" s="4" t="n">
        <v>290</v>
      </c>
      <c r="D12388" s="4" t="n">
        <v>87.72499999999999</v>
      </c>
      <c r="E12388" s="5" t="n">
        <v>553.3</v>
      </c>
      <c r="F12388" s="3" t="inlineStr">
        <is>
          <t>장군면</t>
        </is>
      </c>
      <c r="G12388" s="3" t="inlineStr">
        <is>
          <t>대교리</t>
        </is>
      </c>
      <c r="H12388" s="3" t="inlineStr">
        <is>
          <t>단독다가구</t>
        </is>
      </c>
      <c r="I12388" s="3" t="inlineStr">
        <is>
          <t>단독</t>
        </is>
      </c>
      <c r="J12388" s="3" t="inlineStr">
        <is>
          <t>장군면</t>
        </is>
      </c>
    </row>
    <row r="12389">
      <c r="A12389" s="3" t="n">
        <v>2024</v>
      </c>
      <c r="B12389" s="4" t="n">
        <v>11400</v>
      </c>
      <c r="C12389" s="4" t="n">
        <v>92</v>
      </c>
      <c r="D12389" s="4" t="n">
        <v>27.83</v>
      </c>
      <c r="E12389" s="5" t="n">
        <v>409.6</v>
      </c>
      <c r="F12389" s="3" t="inlineStr">
        <is>
          <t>금남면</t>
        </is>
      </c>
      <c r="G12389" s="3" t="inlineStr">
        <is>
          <t>용포리</t>
        </is>
      </c>
      <c r="H12389" s="3" t="inlineStr">
        <is>
          <t>단독다가구</t>
        </is>
      </c>
      <c r="I12389" s="3" t="inlineStr">
        <is>
          <t>단독</t>
        </is>
      </c>
      <c r="J12389" s="3" t="inlineStr">
        <is>
          <t>금남면</t>
        </is>
      </c>
    </row>
    <row r="12390">
      <c r="A12390" s="3" t="n">
        <v>2024</v>
      </c>
      <c r="B12390" s="4" t="n">
        <v>26800</v>
      </c>
      <c r="C12390" s="4" t="n">
        <v>153</v>
      </c>
      <c r="D12390" s="4" t="n">
        <v>46.2825</v>
      </c>
      <c r="E12390" s="5" t="n">
        <v>579.1</v>
      </c>
      <c r="F12390" s="3" t="inlineStr">
        <is>
          <t>조치원읍</t>
        </is>
      </c>
      <c r="G12390" s="3" t="inlineStr">
        <is>
          <t>원리</t>
        </is>
      </c>
      <c r="H12390" s="3" t="inlineStr">
        <is>
          <t>단독다가구</t>
        </is>
      </c>
      <c r="I12390" s="3" t="inlineStr">
        <is>
          <t>단독</t>
        </is>
      </c>
      <c r="J12390" s="3" t="inlineStr">
        <is>
          <t>조치원읍</t>
        </is>
      </c>
    </row>
    <row r="12391">
      <c r="A12391" s="3" t="n">
        <v>2024</v>
      </c>
      <c r="B12391" s="4" t="n">
        <v>50400</v>
      </c>
      <c r="C12391" s="4" t="n">
        <v>460</v>
      </c>
      <c r="D12391" s="4" t="n">
        <v>139.15</v>
      </c>
      <c r="E12391" s="5" t="n">
        <v>362.2</v>
      </c>
      <c r="F12391" s="3" t="inlineStr">
        <is>
          <t>금남면</t>
        </is>
      </c>
      <c r="G12391" s="3" t="inlineStr">
        <is>
          <t>대박리</t>
        </is>
      </c>
      <c r="H12391" s="3" t="inlineStr">
        <is>
          <t>단독다가구</t>
        </is>
      </c>
      <c r="I12391" s="3" t="inlineStr">
        <is>
          <t>단독</t>
        </is>
      </c>
      <c r="J12391" s="3" t="inlineStr">
        <is>
          <t>금남면</t>
        </is>
      </c>
    </row>
    <row r="12392">
      <c r="A12392" s="3" t="n">
        <v>2023</v>
      </c>
      <c r="B12392" s="4" t="n">
        <v>90000</v>
      </c>
      <c r="C12392" s="4" t="n">
        <v>271.1</v>
      </c>
      <c r="D12392" s="4" t="n">
        <v>82.00775</v>
      </c>
      <c r="E12392" s="5" t="n">
        <v>1097.5</v>
      </c>
      <c r="F12392" s="3" t="inlineStr">
        <is>
          <t>조치원읍</t>
        </is>
      </c>
      <c r="G12392" s="3" t="inlineStr">
        <is>
          <t>침산리</t>
        </is>
      </c>
      <c r="H12392" s="3" t="inlineStr">
        <is>
          <t>단독다가구</t>
        </is>
      </c>
      <c r="I12392" s="3" t="inlineStr">
        <is>
          <t>다가구</t>
        </is>
      </c>
      <c r="J12392" s="3" t="inlineStr">
        <is>
          <t>조치원읍</t>
        </is>
      </c>
    </row>
    <row r="12393">
      <c r="A12393" s="3" t="n">
        <v>2023</v>
      </c>
      <c r="B12393" s="4" t="n">
        <v>25863</v>
      </c>
      <c r="C12393" s="4" t="n">
        <v>549</v>
      </c>
      <c r="D12393" s="4" t="n">
        <v>166.0725</v>
      </c>
      <c r="E12393" s="5" t="n">
        <v>155.7</v>
      </c>
      <c r="F12393" s="3" t="inlineStr">
        <is>
          <t>전의면</t>
        </is>
      </c>
      <c r="G12393" s="3" t="inlineStr">
        <is>
          <t>신정리</t>
        </is>
      </c>
      <c r="H12393" s="3" t="inlineStr">
        <is>
          <t>단독다가구</t>
        </is>
      </c>
      <c r="I12393" s="3" t="inlineStr">
        <is>
          <t>단독</t>
        </is>
      </c>
      <c r="J12393" s="3" t="inlineStr">
        <is>
          <t>전의면</t>
        </is>
      </c>
    </row>
    <row r="12394">
      <c r="A12394" s="3" t="n">
        <v>2023</v>
      </c>
      <c r="B12394" s="4" t="n">
        <v>14000</v>
      </c>
      <c r="C12394" s="4" t="n">
        <v>208.2</v>
      </c>
      <c r="D12394" s="4" t="n">
        <v>62.98049999999999</v>
      </c>
      <c r="E12394" s="5" t="n">
        <v>222.3</v>
      </c>
      <c r="F12394" s="3" t="inlineStr">
        <is>
          <t>전의면</t>
        </is>
      </c>
      <c r="G12394" s="3" t="inlineStr">
        <is>
          <t>동교리</t>
        </is>
      </c>
      <c r="H12394" s="3" t="inlineStr">
        <is>
          <t>단독다가구</t>
        </is>
      </c>
      <c r="I12394" s="3" t="inlineStr">
        <is>
          <t>단독</t>
        </is>
      </c>
      <c r="J12394" s="3" t="inlineStr">
        <is>
          <t>전의면</t>
        </is>
      </c>
    </row>
    <row r="12395">
      <c r="A12395" s="3" t="n">
        <v>2023</v>
      </c>
      <c r="B12395" s="4" t="n">
        <v>21000</v>
      </c>
      <c r="C12395" s="4" t="n">
        <v>237</v>
      </c>
      <c r="D12395" s="4" t="n">
        <v>71.6925</v>
      </c>
      <c r="E12395" s="5" t="n">
        <v>292.9</v>
      </c>
      <c r="F12395" s="3" t="inlineStr">
        <is>
          <t>연서면</t>
        </is>
      </c>
      <c r="G12395" s="3" t="inlineStr">
        <is>
          <t>월하리</t>
        </is>
      </c>
      <c r="H12395" s="3" t="inlineStr">
        <is>
          <t>단독다가구</t>
        </is>
      </c>
      <c r="I12395" s="3" t="inlineStr">
        <is>
          <t>단독</t>
        </is>
      </c>
      <c r="J12395" s="3" t="inlineStr">
        <is>
          <t>연서면</t>
        </is>
      </c>
    </row>
    <row r="12396">
      <c r="A12396" s="3" t="n">
        <v>2023</v>
      </c>
      <c r="B12396" s="4" t="n">
        <v>21700</v>
      </c>
      <c r="C12396" s="4" t="n">
        <v>196</v>
      </c>
      <c r="D12396" s="4" t="n">
        <v>59.29</v>
      </c>
      <c r="E12396" s="5" t="n">
        <v>366</v>
      </c>
      <c r="F12396" s="3" t="inlineStr">
        <is>
          <t>연서면</t>
        </is>
      </c>
      <c r="G12396" s="3" t="inlineStr">
        <is>
          <t>성제리</t>
        </is>
      </c>
      <c r="H12396" s="3" t="inlineStr">
        <is>
          <t>단독다가구</t>
        </is>
      </c>
      <c r="I12396" s="3" t="inlineStr">
        <is>
          <t>단독</t>
        </is>
      </c>
      <c r="J12396" s="3" t="inlineStr">
        <is>
          <t>연서면</t>
        </is>
      </c>
    </row>
    <row r="12397">
      <c r="A12397" s="3" t="n">
        <v>2023</v>
      </c>
      <c r="B12397" s="4" t="n">
        <v>50000</v>
      </c>
      <c r="C12397" s="4" t="n">
        <v>385</v>
      </c>
      <c r="D12397" s="4" t="n">
        <v>116.4625</v>
      </c>
      <c r="E12397" s="5" t="n">
        <v>429.3</v>
      </c>
      <c r="F12397" s="3" t="inlineStr">
        <is>
          <t>조치원읍</t>
        </is>
      </c>
      <c r="G12397" s="3" t="inlineStr">
        <is>
          <t>서창리</t>
        </is>
      </c>
      <c r="H12397" s="3" t="inlineStr">
        <is>
          <t>단독다가구</t>
        </is>
      </c>
      <c r="I12397" s="3" t="inlineStr">
        <is>
          <t>다가구</t>
        </is>
      </c>
      <c r="J12397" s="3" t="inlineStr">
        <is>
          <t>조치원읍</t>
        </is>
      </c>
    </row>
    <row r="12398">
      <c r="A12398" s="3" t="n">
        <v>2023</v>
      </c>
      <c r="B12398" s="4" t="n">
        <v>134000</v>
      </c>
      <c r="C12398" s="4" t="n">
        <v>332.4</v>
      </c>
      <c r="D12398" s="4" t="n">
        <v>100.551</v>
      </c>
      <c r="E12398" s="5" t="n">
        <v>1332.7</v>
      </c>
      <c r="F12398" s="3" t="inlineStr">
        <is>
          <t>아름동</t>
        </is>
      </c>
      <c r="G12398" s="3" t="inlineStr"/>
      <c r="H12398" s="3" t="inlineStr">
        <is>
          <t>단독다가구</t>
        </is>
      </c>
      <c r="I12398" s="3" t="inlineStr">
        <is>
          <t>단독</t>
        </is>
      </c>
      <c r="J12398" s="3" t="inlineStr">
        <is>
          <t>아름동</t>
        </is>
      </c>
    </row>
    <row r="12399">
      <c r="A12399" s="3" t="n">
        <v>2023</v>
      </c>
      <c r="B12399" s="4" t="n">
        <v>1750</v>
      </c>
      <c r="C12399" s="4" t="n">
        <v>276</v>
      </c>
      <c r="D12399" s="4" t="n">
        <v>83.48999999999999</v>
      </c>
      <c r="E12399" s="5" t="n">
        <v>21</v>
      </c>
      <c r="F12399" s="3" t="inlineStr">
        <is>
          <t>전의면</t>
        </is>
      </c>
      <c r="G12399" s="3" t="inlineStr">
        <is>
          <t>신방리</t>
        </is>
      </c>
      <c r="H12399" s="3" t="inlineStr">
        <is>
          <t>단독다가구</t>
        </is>
      </c>
      <c r="I12399" s="3" t="inlineStr">
        <is>
          <t>단독</t>
        </is>
      </c>
      <c r="J12399" s="3" t="inlineStr">
        <is>
          <t>전의면</t>
        </is>
      </c>
    </row>
    <row r="12400">
      <c r="A12400" s="3" t="n">
        <v>2023</v>
      </c>
      <c r="B12400" s="4" t="n">
        <v>73026</v>
      </c>
      <c r="C12400" s="4" t="n">
        <v>311.1</v>
      </c>
      <c r="D12400" s="4" t="n">
        <v>94.10775000000001</v>
      </c>
      <c r="E12400" s="5" t="n">
        <v>776</v>
      </c>
      <c r="F12400" s="3" t="inlineStr">
        <is>
          <t>아름동</t>
        </is>
      </c>
      <c r="G12400" s="3" t="inlineStr"/>
      <c r="H12400" s="3" t="inlineStr">
        <is>
          <t>단독다가구</t>
        </is>
      </c>
      <c r="I12400" s="3" t="inlineStr">
        <is>
          <t>단독</t>
        </is>
      </c>
      <c r="J12400" s="3" t="inlineStr">
        <is>
          <t>아름동</t>
        </is>
      </c>
    </row>
    <row r="12401">
      <c r="A12401" s="3" t="n">
        <v>2023</v>
      </c>
      <c r="B12401" s="4" t="n">
        <v>14800</v>
      </c>
      <c r="C12401" s="4" t="n">
        <v>334</v>
      </c>
      <c r="D12401" s="4" t="n">
        <v>101.035</v>
      </c>
      <c r="E12401" s="5" t="n">
        <v>146.5</v>
      </c>
      <c r="F12401" s="3" t="inlineStr">
        <is>
          <t>장군면</t>
        </is>
      </c>
      <c r="G12401" s="3" t="inlineStr">
        <is>
          <t>송정리</t>
        </is>
      </c>
      <c r="H12401" s="3" t="inlineStr">
        <is>
          <t>단독다가구</t>
        </is>
      </c>
      <c r="I12401" s="3" t="inlineStr">
        <is>
          <t>단독</t>
        </is>
      </c>
      <c r="J12401" s="3" t="inlineStr">
        <is>
          <t>장군면</t>
        </is>
      </c>
    </row>
    <row r="12402">
      <c r="A12402" s="3" t="n">
        <v>2023</v>
      </c>
      <c r="B12402" s="4" t="n">
        <v>44500</v>
      </c>
      <c r="C12402" s="4" t="n">
        <v>155</v>
      </c>
      <c r="D12402" s="4" t="n">
        <v>46.8875</v>
      </c>
      <c r="E12402" s="5" t="n">
        <v>949.1</v>
      </c>
      <c r="F12402" s="3" t="inlineStr">
        <is>
          <t>조치원읍</t>
        </is>
      </c>
      <c r="G12402" s="3" t="inlineStr">
        <is>
          <t>신흥리</t>
        </is>
      </c>
      <c r="H12402" s="3" t="inlineStr">
        <is>
          <t>단독다가구</t>
        </is>
      </c>
      <c r="I12402" s="3" t="inlineStr">
        <is>
          <t>단독</t>
        </is>
      </c>
      <c r="J12402" s="3" t="inlineStr">
        <is>
          <t>조치원읍</t>
        </is>
      </c>
    </row>
    <row r="12403">
      <c r="A12403" s="3" t="n">
        <v>2023</v>
      </c>
      <c r="B12403" s="4" t="n">
        <v>10400</v>
      </c>
      <c r="C12403" s="4" t="n">
        <v>166</v>
      </c>
      <c r="D12403" s="4" t="n">
        <v>50.215</v>
      </c>
      <c r="E12403" s="5" t="n">
        <v>207.1</v>
      </c>
      <c r="F12403" s="3" t="inlineStr">
        <is>
          <t>연동면</t>
        </is>
      </c>
      <c r="G12403" s="3" t="inlineStr">
        <is>
          <t>내판리</t>
        </is>
      </c>
      <c r="H12403" s="3" t="inlineStr">
        <is>
          <t>단독다가구</t>
        </is>
      </c>
      <c r="I12403" s="3" t="inlineStr">
        <is>
          <t>단독</t>
        </is>
      </c>
      <c r="J12403" s="3" t="inlineStr">
        <is>
          <t>연동면</t>
        </is>
      </c>
    </row>
    <row r="12404">
      <c r="A12404" s="3" t="n">
        <v>2023</v>
      </c>
      <c r="B12404" s="4" t="n">
        <v>22000</v>
      </c>
      <c r="C12404" s="4" t="n">
        <v>148</v>
      </c>
      <c r="D12404" s="4" t="n">
        <v>44.77</v>
      </c>
      <c r="E12404" s="5" t="n">
        <v>491.4</v>
      </c>
      <c r="F12404" s="3" t="inlineStr">
        <is>
          <t>조치원읍</t>
        </is>
      </c>
      <c r="G12404" s="3" t="inlineStr">
        <is>
          <t>죽림리</t>
        </is>
      </c>
      <c r="H12404" s="3" t="inlineStr">
        <is>
          <t>단독다가구</t>
        </is>
      </c>
      <c r="I12404" s="3" t="inlineStr">
        <is>
          <t>단독</t>
        </is>
      </c>
      <c r="J12404" s="3" t="inlineStr">
        <is>
          <t>조치원읍</t>
        </is>
      </c>
    </row>
    <row r="12405">
      <c r="A12405" s="3" t="n">
        <v>2023</v>
      </c>
      <c r="B12405" s="4" t="n">
        <v>15500</v>
      </c>
      <c r="C12405" s="4" t="n">
        <v>139</v>
      </c>
      <c r="D12405" s="4" t="n">
        <v>42.0475</v>
      </c>
      <c r="E12405" s="5" t="n">
        <v>368.6</v>
      </c>
      <c r="F12405" s="3" t="inlineStr">
        <is>
          <t>조치원읍</t>
        </is>
      </c>
      <c r="G12405" s="3" t="inlineStr">
        <is>
          <t>신안리</t>
        </is>
      </c>
      <c r="H12405" s="3" t="inlineStr">
        <is>
          <t>단독다가구</t>
        </is>
      </c>
      <c r="I12405" s="3" t="inlineStr">
        <is>
          <t>단독</t>
        </is>
      </c>
      <c r="J12405" s="3" t="inlineStr">
        <is>
          <t>조치원읍</t>
        </is>
      </c>
    </row>
    <row r="12406">
      <c r="A12406" s="3" t="n">
        <v>2023</v>
      </c>
      <c r="B12406" s="4" t="n">
        <v>15000</v>
      </c>
      <c r="C12406" s="4" t="n">
        <v>288.2</v>
      </c>
      <c r="D12406" s="4" t="n">
        <v>87.18049999999999</v>
      </c>
      <c r="E12406" s="5" t="n">
        <v>172.1</v>
      </c>
      <c r="F12406" s="3" t="inlineStr">
        <is>
          <t>소정면</t>
        </is>
      </c>
      <c r="G12406" s="3" t="inlineStr">
        <is>
          <t>소정리</t>
        </is>
      </c>
      <c r="H12406" s="3" t="inlineStr">
        <is>
          <t>단독다가구</t>
        </is>
      </c>
      <c r="I12406" s="3" t="inlineStr">
        <is>
          <t>단독</t>
        </is>
      </c>
      <c r="J12406" s="3" t="inlineStr">
        <is>
          <t>소정면</t>
        </is>
      </c>
    </row>
    <row r="12407">
      <c r="A12407" s="3" t="n">
        <v>2023</v>
      </c>
      <c r="B12407" s="4" t="n">
        <v>62950</v>
      </c>
      <c r="C12407" s="4" t="n">
        <v>418</v>
      </c>
      <c r="D12407" s="4" t="n">
        <v>126.445</v>
      </c>
      <c r="E12407" s="5" t="n">
        <v>497.8</v>
      </c>
      <c r="F12407" s="3" t="inlineStr">
        <is>
          <t>장군면</t>
        </is>
      </c>
      <c r="G12407" s="3" t="inlineStr">
        <is>
          <t>금암리</t>
        </is>
      </c>
      <c r="H12407" s="3" t="inlineStr">
        <is>
          <t>단독다가구</t>
        </is>
      </c>
      <c r="I12407" s="3" t="inlineStr">
        <is>
          <t>단독</t>
        </is>
      </c>
      <c r="J12407" s="3" t="inlineStr">
        <is>
          <t>장군면</t>
        </is>
      </c>
    </row>
    <row r="12408">
      <c r="A12408" s="3" t="n">
        <v>2023</v>
      </c>
      <c r="B12408" s="4" t="n">
        <v>27840</v>
      </c>
      <c r="C12408" s="4" t="n">
        <v>115</v>
      </c>
      <c r="D12408" s="4" t="n">
        <v>34.7875</v>
      </c>
      <c r="E12408" s="5" t="n">
        <v>800.3</v>
      </c>
      <c r="F12408" s="3" t="inlineStr">
        <is>
          <t>금남면</t>
        </is>
      </c>
      <c r="G12408" s="3" t="inlineStr">
        <is>
          <t>호탄리</t>
        </is>
      </c>
      <c r="H12408" s="3" t="inlineStr">
        <is>
          <t>단독다가구</t>
        </is>
      </c>
      <c r="I12408" s="3" t="inlineStr">
        <is>
          <t>단독</t>
        </is>
      </c>
      <c r="J12408" s="3" t="inlineStr">
        <is>
          <t>금남면</t>
        </is>
      </c>
    </row>
    <row r="12409">
      <c r="A12409" s="3" t="n">
        <v>2023</v>
      </c>
      <c r="B12409" s="4" t="n">
        <v>46989</v>
      </c>
      <c r="C12409" s="4" t="n">
        <v>497</v>
      </c>
      <c r="D12409" s="4" t="n">
        <v>150.3425</v>
      </c>
      <c r="E12409" s="5" t="n">
        <v>312.5</v>
      </c>
      <c r="F12409" s="3" t="inlineStr">
        <is>
          <t>금남면</t>
        </is>
      </c>
      <c r="G12409" s="3" t="inlineStr">
        <is>
          <t>부용리</t>
        </is>
      </c>
      <c r="H12409" s="3" t="inlineStr">
        <is>
          <t>단독다가구</t>
        </is>
      </c>
      <c r="I12409" s="3" t="inlineStr">
        <is>
          <t>단독</t>
        </is>
      </c>
      <c r="J12409" s="3" t="inlineStr">
        <is>
          <t>금남면</t>
        </is>
      </c>
    </row>
    <row r="12410">
      <c r="A12410" s="3" t="n">
        <v>2023</v>
      </c>
      <c r="B12410" s="4" t="n">
        <v>8000</v>
      </c>
      <c r="C12410" s="4" t="n">
        <v>79</v>
      </c>
      <c r="D12410" s="4" t="n">
        <v>23.8975</v>
      </c>
      <c r="E12410" s="5" t="n">
        <v>334.8</v>
      </c>
      <c r="F12410" s="3" t="inlineStr">
        <is>
          <t>조치원읍</t>
        </is>
      </c>
      <c r="G12410" s="3" t="inlineStr">
        <is>
          <t>평리</t>
        </is>
      </c>
      <c r="H12410" s="3" t="inlineStr">
        <is>
          <t>단독다가구</t>
        </is>
      </c>
      <c r="I12410" s="3" t="inlineStr">
        <is>
          <t>단독</t>
        </is>
      </c>
      <c r="J12410" s="3" t="inlineStr">
        <is>
          <t>조치원읍</t>
        </is>
      </c>
    </row>
    <row r="12411">
      <c r="A12411" s="3" t="n">
        <v>2023</v>
      </c>
      <c r="B12411" s="4" t="n">
        <v>25500</v>
      </c>
      <c r="C12411" s="4" t="n">
        <v>175</v>
      </c>
      <c r="D12411" s="4" t="n">
        <v>52.9375</v>
      </c>
      <c r="E12411" s="5" t="n">
        <v>481.7</v>
      </c>
      <c r="F12411" s="3" t="inlineStr">
        <is>
          <t>조치원읍</t>
        </is>
      </c>
      <c r="G12411" s="3" t="inlineStr">
        <is>
          <t>명리</t>
        </is>
      </c>
      <c r="H12411" s="3" t="inlineStr">
        <is>
          <t>단독다가구</t>
        </is>
      </c>
      <c r="I12411" s="3" t="inlineStr">
        <is>
          <t>단독</t>
        </is>
      </c>
      <c r="J12411" s="3" t="inlineStr">
        <is>
          <t>조치원읍</t>
        </is>
      </c>
    </row>
    <row r="12412">
      <c r="A12412" s="3" t="n">
        <v>2023</v>
      </c>
      <c r="B12412" s="4" t="n">
        <v>19000</v>
      </c>
      <c r="C12412" s="4" t="n">
        <v>369</v>
      </c>
      <c r="D12412" s="4" t="n">
        <v>111.6225</v>
      </c>
      <c r="E12412" s="5" t="n">
        <v>170.2</v>
      </c>
      <c r="F12412" s="3" t="inlineStr">
        <is>
          <t>소정면</t>
        </is>
      </c>
      <c r="G12412" s="3" t="inlineStr">
        <is>
          <t>대곡리</t>
        </is>
      </c>
      <c r="H12412" s="3" t="inlineStr">
        <is>
          <t>단독다가구</t>
        </is>
      </c>
      <c r="I12412" s="3" t="inlineStr">
        <is>
          <t>단독</t>
        </is>
      </c>
      <c r="J12412" s="3" t="inlineStr">
        <is>
          <t>소정면</t>
        </is>
      </c>
    </row>
    <row r="12413">
      <c r="A12413" s="3" t="n">
        <v>2023</v>
      </c>
      <c r="B12413" s="4" t="n">
        <v>72000</v>
      </c>
      <c r="C12413" s="4" t="n">
        <v>362</v>
      </c>
      <c r="D12413" s="4" t="n">
        <v>109.505</v>
      </c>
      <c r="E12413" s="5" t="n">
        <v>657.5</v>
      </c>
      <c r="F12413" s="3" t="inlineStr">
        <is>
          <t>금남면</t>
        </is>
      </c>
      <c r="G12413" s="3" t="inlineStr">
        <is>
          <t>도남리</t>
        </is>
      </c>
      <c r="H12413" s="3" t="inlineStr">
        <is>
          <t>단독다가구</t>
        </is>
      </c>
      <c r="I12413" s="3" t="inlineStr">
        <is>
          <t>단독</t>
        </is>
      </c>
      <c r="J12413" s="3" t="inlineStr">
        <is>
          <t>금남면</t>
        </is>
      </c>
    </row>
    <row r="12414">
      <c r="A12414" s="3" t="n">
        <v>2023</v>
      </c>
      <c r="B12414" s="4" t="n">
        <v>70493</v>
      </c>
      <c r="C12414" s="4" t="n">
        <v>287</v>
      </c>
      <c r="D12414" s="4" t="n">
        <v>86.8175</v>
      </c>
      <c r="E12414" s="5" t="n">
        <v>812</v>
      </c>
      <c r="F12414" s="3" t="inlineStr">
        <is>
          <t>전의면</t>
        </is>
      </c>
      <c r="G12414" s="3" t="inlineStr">
        <is>
          <t>읍내리</t>
        </is>
      </c>
      <c r="H12414" s="3" t="inlineStr">
        <is>
          <t>단독다가구</t>
        </is>
      </c>
      <c r="I12414" s="3" t="inlineStr">
        <is>
          <t>다가구</t>
        </is>
      </c>
      <c r="J12414" s="3" t="inlineStr">
        <is>
          <t>전의면</t>
        </is>
      </c>
    </row>
    <row r="12415">
      <c r="A12415" s="3" t="n">
        <v>2023</v>
      </c>
      <c r="B12415" s="4" t="n">
        <v>56000</v>
      </c>
      <c r="C12415" s="4" t="n">
        <v>108</v>
      </c>
      <c r="D12415" s="4" t="n">
        <v>32.67</v>
      </c>
      <c r="E12415" s="5" t="n">
        <v>1714.1</v>
      </c>
      <c r="F12415" s="3" t="inlineStr">
        <is>
          <t>전의면</t>
        </is>
      </c>
      <c r="G12415" s="3" t="inlineStr">
        <is>
          <t>읍내리</t>
        </is>
      </c>
      <c r="H12415" s="3" t="inlineStr">
        <is>
          <t>단독다가구</t>
        </is>
      </c>
      <c r="I12415" s="3" t="inlineStr">
        <is>
          <t>단독</t>
        </is>
      </c>
      <c r="J12415" s="3" t="inlineStr">
        <is>
          <t>전의면</t>
        </is>
      </c>
    </row>
    <row r="12416">
      <c r="A12416" s="3" t="n">
        <v>2023</v>
      </c>
      <c r="B12416" s="4" t="n">
        <v>17000</v>
      </c>
      <c r="C12416" s="4" t="n">
        <v>666</v>
      </c>
      <c r="D12416" s="4" t="n">
        <v>201.465</v>
      </c>
      <c r="E12416" s="5" t="n">
        <v>84.40000000000001</v>
      </c>
      <c r="F12416" s="3" t="inlineStr">
        <is>
          <t>소정면</t>
        </is>
      </c>
      <c r="G12416" s="3" t="inlineStr">
        <is>
          <t>대곡리</t>
        </is>
      </c>
      <c r="H12416" s="3" t="inlineStr">
        <is>
          <t>단독다가구</t>
        </is>
      </c>
      <c r="I12416" s="3" t="inlineStr">
        <is>
          <t>단독</t>
        </is>
      </c>
      <c r="J12416" s="3" t="inlineStr">
        <is>
          <t>소정면</t>
        </is>
      </c>
    </row>
    <row r="12417">
      <c r="A12417" s="3" t="n">
        <v>2023</v>
      </c>
      <c r="B12417" s="4" t="n">
        <v>36000</v>
      </c>
      <c r="C12417" s="4" t="n">
        <v>188</v>
      </c>
      <c r="D12417" s="4" t="n">
        <v>56.87</v>
      </c>
      <c r="E12417" s="5" t="n">
        <v>633</v>
      </c>
      <c r="F12417" s="3" t="inlineStr">
        <is>
          <t>조치원읍</t>
        </is>
      </c>
      <c r="G12417" s="3" t="inlineStr">
        <is>
          <t>침산리</t>
        </is>
      </c>
      <c r="H12417" s="3" t="inlineStr">
        <is>
          <t>단독다가구</t>
        </is>
      </c>
      <c r="I12417" s="3" t="inlineStr">
        <is>
          <t>단독</t>
        </is>
      </c>
      <c r="J12417" s="3" t="inlineStr">
        <is>
          <t>조치원읍</t>
        </is>
      </c>
    </row>
    <row r="12418">
      <c r="A12418" s="3" t="n">
        <v>2023</v>
      </c>
      <c r="B12418" s="4" t="n">
        <v>11300</v>
      </c>
      <c r="C12418" s="4" t="n">
        <v>159</v>
      </c>
      <c r="D12418" s="4" t="n">
        <v>48.0975</v>
      </c>
      <c r="E12418" s="5" t="n">
        <v>234.9</v>
      </c>
      <c r="F12418" s="3" t="inlineStr">
        <is>
          <t>조치원읍</t>
        </is>
      </c>
      <c r="G12418" s="3" t="inlineStr">
        <is>
          <t>신흥리</t>
        </is>
      </c>
      <c r="H12418" s="3" t="inlineStr">
        <is>
          <t>단독다가구</t>
        </is>
      </c>
      <c r="I12418" s="3" t="inlineStr">
        <is>
          <t>단독</t>
        </is>
      </c>
      <c r="J12418" s="3" t="inlineStr">
        <is>
          <t>조치원읍</t>
        </is>
      </c>
    </row>
    <row r="12419">
      <c r="A12419" s="3" t="n">
        <v>2023</v>
      </c>
      <c r="B12419" s="4" t="n">
        <v>34900</v>
      </c>
      <c r="C12419" s="4" t="n">
        <v>409</v>
      </c>
      <c r="D12419" s="4" t="n">
        <v>123.7225</v>
      </c>
      <c r="E12419" s="5" t="n">
        <v>282.1</v>
      </c>
      <c r="F12419" s="3" t="inlineStr">
        <is>
          <t>장군면</t>
        </is>
      </c>
      <c r="G12419" s="3" t="inlineStr">
        <is>
          <t>봉안리</t>
        </is>
      </c>
      <c r="H12419" s="3" t="inlineStr">
        <is>
          <t>단독다가구</t>
        </is>
      </c>
      <c r="I12419" s="3" t="inlineStr">
        <is>
          <t>단독</t>
        </is>
      </c>
      <c r="J12419" s="3" t="inlineStr">
        <is>
          <t>장군면</t>
        </is>
      </c>
    </row>
    <row r="12420">
      <c r="A12420" s="3" t="n">
        <v>2023</v>
      </c>
      <c r="B12420" s="4" t="n">
        <v>97240</v>
      </c>
      <c r="C12420" s="4" t="n">
        <v>400</v>
      </c>
      <c r="D12420" s="4" t="n">
        <v>121</v>
      </c>
      <c r="E12420" s="5" t="n">
        <v>803.6</v>
      </c>
      <c r="F12420" s="3" t="inlineStr">
        <is>
          <t>도담동</t>
        </is>
      </c>
      <c r="G12420" s="3" t="inlineStr"/>
      <c r="H12420" s="3" t="inlineStr">
        <is>
          <t>단독다가구</t>
        </is>
      </c>
      <c r="I12420" s="3" t="inlineStr">
        <is>
          <t>단독</t>
        </is>
      </c>
      <c r="J12420" s="3" t="inlineStr">
        <is>
          <t>도담동</t>
        </is>
      </c>
    </row>
    <row r="12421">
      <c r="A12421" s="3" t="n">
        <v>2023</v>
      </c>
      <c r="B12421" s="4" t="n">
        <v>36000</v>
      </c>
      <c r="C12421" s="4" t="n">
        <v>628</v>
      </c>
      <c r="D12421" s="4" t="n">
        <v>189.97</v>
      </c>
      <c r="E12421" s="5" t="n">
        <v>189.5</v>
      </c>
      <c r="F12421" s="3" t="inlineStr">
        <is>
          <t>부강면</t>
        </is>
      </c>
      <c r="G12421" s="3" t="inlineStr">
        <is>
          <t>부강리</t>
        </is>
      </c>
      <c r="H12421" s="3" t="inlineStr">
        <is>
          <t>단독다가구</t>
        </is>
      </c>
      <c r="I12421" s="3" t="inlineStr">
        <is>
          <t>단독</t>
        </is>
      </c>
      <c r="J12421" s="3" t="inlineStr">
        <is>
          <t>부강면</t>
        </is>
      </c>
    </row>
    <row r="12422">
      <c r="A12422" s="3" t="n">
        <v>2023</v>
      </c>
      <c r="B12422" s="4" t="n">
        <v>24000</v>
      </c>
      <c r="C12422" s="4" t="n">
        <v>162</v>
      </c>
      <c r="D12422" s="4" t="n">
        <v>49.005</v>
      </c>
      <c r="E12422" s="5" t="n">
        <v>489.7</v>
      </c>
      <c r="F12422" s="3" t="inlineStr">
        <is>
          <t>조치원읍</t>
        </is>
      </c>
      <c r="G12422" s="3" t="inlineStr">
        <is>
          <t>명리</t>
        </is>
      </c>
      <c r="H12422" s="3" t="inlineStr">
        <is>
          <t>단독다가구</t>
        </is>
      </c>
      <c r="I12422" s="3" t="inlineStr">
        <is>
          <t>단독</t>
        </is>
      </c>
      <c r="J12422" s="3" t="inlineStr">
        <is>
          <t>조치원읍</t>
        </is>
      </c>
    </row>
    <row r="12423">
      <c r="A12423" s="3" t="n">
        <v>2023</v>
      </c>
      <c r="B12423" s="4" t="n">
        <v>21500</v>
      </c>
      <c r="C12423" s="4" t="n">
        <v>231</v>
      </c>
      <c r="D12423" s="4" t="n">
        <v>69.8775</v>
      </c>
      <c r="E12423" s="5" t="n">
        <v>307.7</v>
      </c>
      <c r="F12423" s="3" t="inlineStr">
        <is>
          <t>조치원읍</t>
        </is>
      </c>
      <c r="G12423" s="3" t="inlineStr">
        <is>
          <t>남리</t>
        </is>
      </c>
      <c r="H12423" s="3" t="inlineStr">
        <is>
          <t>단독다가구</t>
        </is>
      </c>
      <c r="I12423" s="3" t="inlineStr">
        <is>
          <t>단독</t>
        </is>
      </c>
      <c r="J12423" s="3" t="inlineStr">
        <is>
          <t>조치원읍</t>
        </is>
      </c>
    </row>
    <row r="12424">
      <c r="A12424" s="3" t="n">
        <v>2023</v>
      </c>
      <c r="B12424" s="4" t="n">
        <v>18000</v>
      </c>
      <c r="C12424" s="4" t="n">
        <v>358</v>
      </c>
      <c r="D12424" s="4" t="n">
        <v>108.295</v>
      </c>
      <c r="E12424" s="5" t="n">
        <v>166.2</v>
      </c>
      <c r="F12424" s="3" t="inlineStr">
        <is>
          <t>연서면</t>
        </is>
      </c>
      <c r="G12424" s="3" t="inlineStr">
        <is>
          <t>고복리</t>
        </is>
      </c>
      <c r="H12424" s="3" t="inlineStr">
        <is>
          <t>단독다가구</t>
        </is>
      </c>
      <c r="I12424" s="3" t="inlineStr">
        <is>
          <t>단독</t>
        </is>
      </c>
      <c r="J12424" s="3" t="inlineStr">
        <is>
          <t>연서면</t>
        </is>
      </c>
    </row>
    <row r="12425">
      <c r="A12425" s="3" t="n">
        <v>2023</v>
      </c>
      <c r="B12425" s="4" t="n">
        <v>32000</v>
      </c>
      <c r="C12425" s="4" t="n">
        <v>257.8</v>
      </c>
      <c r="D12425" s="4" t="n">
        <v>77.9845</v>
      </c>
      <c r="E12425" s="5" t="n">
        <v>410.3</v>
      </c>
      <c r="F12425" s="3" t="inlineStr">
        <is>
          <t>조치원읍</t>
        </is>
      </c>
      <c r="G12425" s="3" t="inlineStr">
        <is>
          <t>교리</t>
        </is>
      </c>
      <c r="H12425" s="3" t="inlineStr">
        <is>
          <t>단독다가구</t>
        </is>
      </c>
      <c r="I12425" s="3" t="inlineStr">
        <is>
          <t>단독</t>
        </is>
      </c>
      <c r="J12425" s="3" t="inlineStr">
        <is>
          <t>조치원읍</t>
        </is>
      </c>
    </row>
    <row r="12426">
      <c r="A12426" s="3" t="n">
        <v>2023</v>
      </c>
      <c r="B12426" s="4" t="n">
        <v>41000</v>
      </c>
      <c r="C12426" s="4" t="n">
        <v>186</v>
      </c>
      <c r="D12426" s="4" t="n">
        <v>56.265</v>
      </c>
      <c r="E12426" s="5" t="n">
        <v>728.7</v>
      </c>
      <c r="F12426" s="3" t="inlineStr">
        <is>
          <t>금남면</t>
        </is>
      </c>
      <c r="G12426" s="3" t="inlineStr">
        <is>
          <t>용포리</t>
        </is>
      </c>
      <c r="H12426" s="3" t="inlineStr">
        <is>
          <t>단독다가구</t>
        </is>
      </c>
      <c r="I12426" s="3" t="inlineStr">
        <is>
          <t>단독</t>
        </is>
      </c>
      <c r="J12426" s="3" t="inlineStr">
        <is>
          <t>금남면</t>
        </is>
      </c>
    </row>
    <row r="12427">
      <c r="A12427" s="3" t="n">
        <v>2023</v>
      </c>
      <c r="B12427" s="4" t="n">
        <v>8000</v>
      </c>
      <c r="C12427" s="4" t="n">
        <v>599</v>
      </c>
      <c r="D12427" s="4" t="n">
        <v>181.1975</v>
      </c>
      <c r="E12427" s="5" t="n">
        <v>44.2</v>
      </c>
      <c r="F12427" s="3" t="inlineStr">
        <is>
          <t>연기면</t>
        </is>
      </c>
      <c r="G12427" s="3" t="inlineStr">
        <is>
          <t>수산리</t>
        </is>
      </c>
      <c r="H12427" s="3" t="inlineStr">
        <is>
          <t>단독다가구</t>
        </is>
      </c>
      <c r="I12427" s="3" t="inlineStr">
        <is>
          <t>단독</t>
        </is>
      </c>
      <c r="J12427" s="3" t="inlineStr">
        <is>
          <t>연기면</t>
        </is>
      </c>
    </row>
    <row r="12428">
      <c r="A12428" s="3" t="n">
        <v>2023</v>
      </c>
      <c r="B12428" s="4" t="n">
        <v>81677</v>
      </c>
      <c r="C12428" s="4" t="n">
        <v>295</v>
      </c>
      <c r="D12428" s="4" t="n">
        <v>89.2375</v>
      </c>
      <c r="E12428" s="5" t="n">
        <v>915.3</v>
      </c>
      <c r="F12428" s="3" t="inlineStr">
        <is>
          <t>고운동</t>
        </is>
      </c>
      <c r="G12428" s="3" t="inlineStr"/>
      <c r="H12428" s="3" t="inlineStr">
        <is>
          <t>단독다가구</t>
        </is>
      </c>
      <c r="I12428" s="3" t="inlineStr">
        <is>
          <t>단독</t>
        </is>
      </c>
      <c r="J12428" s="3" t="inlineStr">
        <is>
          <t>고운동</t>
        </is>
      </c>
    </row>
    <row r="12429">
      <c r="A12429" s="3" t="n">
        <v>2023</v>
      </c>
      <c r="B12429" s="4" t="n">
        <v>79137</v>
      </c>
      <c r="C12429" s="4" t="n">
        <v>425</v>
      </c>
      <c r="D12429" s="4" t="n">
        <v>128.5625</v>
      </c>
      <c r="E12429" s="5" t="n">
        <v>615.6</v>
      </c>
      <c r="F12429" s="3" t="inlineStr">
        <is>
          <t>장군면</t>
        </is>
      </c>
      <c r="G12429" s="3" t="inlineStr">
        <is>
          <t>도계리</t>
        </is>
      </c>
      <c r="H12429" s="3" t="inlineStr">
        <is>
          <t>단독다가구</t>
        </is>
      </c>
      <c r="I12429" s="3" t="inlineStr">
        <is>
          <t>다가구</t>
        </is>
      </c>
      <c r="J12429" s="3" t="inlineStr">
        <is>
          <t>장군면</t>
        </is>
      </c>
    </row>
    <row r="12430">
      <c r="A12430" s="3" t="n">
        <v>2023</v>
      </c>
      <c r="B12430" s="4" t="n">
        <v>17000</v>
      </c>
      <c r="C12430" s="4" t="n">
        <v>456</v>
      </c>
      <c r="D12430" s="4" t="n">
        <v>137.94</v>
      </c>
      <c r="E12430" s="5" t="n">
        <v>123.2</v>
      </c>
      <c r="F12430" s="3" t="inlineStr">
        <is>
          <t>소정면</t>
        </is>
      </c>
      <c r="G12430" s="3" t="inlineStr">
        <is>
          <t>대곡리</t>
        </is>
      </c>
      <c r="H12430" s="3" t="inlineStr">
        <is>
          <t>단독다가구</t>
        </is>
      </c>
      <c r="I12430" s="3" t="inlineStr">
        <is>
          <t>단독</t>
        </is>
      </c>
      <c r="J12430" s="3" t="inlineStr">
        <is>
          <t>소정면</t>
        </is>
      </c>
    </row>
    <row r="12431">
      <c r="A12431" s="3" t="n">
        <v>2022</v>
      </c>
      <c r="B12431" s="4" t="n">
        <v>153000</v>
      </c>
      <c r="C12431" s="4" t="n">
        <v>335.9</v>
      </c>
      <c r="D12431" s="4" t="n">
        <v>101.60975</v>
      </c>
      <c r="E12431" s="5" t="n">
        <v>1505.8</v>
      </c>
      <c r="F12431" s="3" t="inlineStr">
        <is>
          <t>도담동</t>
        </is>
      </c>
      <c r="G12431" s="3" t="inlineStr"/>
      <c r="H12431" s="3" t="inlineStr">
        <is>
          <t>단독다가구</t>
        </is>
      </c>
      <c r="I12431" s="3" t="inlineStr">
        <is>
          <t>단독</t>
        </is>
      </c>
      <c r="J12431" s="3" t="inlineStr">
        <is>
          <t>도담동</t>
        </is>
      </c>
    </row>
    <row r="12432">
      <c r="A12432" s="3" t="n">
        <v>2022</v>
      </c>
      <c r="B12432" s="4" t="n">
        <v>36806</v>
      </c>
      <c r="C12432" s="4" t="n">
        <v>721</v>
      </c>
      <c r="D12432" s="4" t="n">
        <v>218.1025</v>
      </c>
      <c r="E12432" s="5" t="n">
        <v>168.8</v>
      </c>
      <c r="F12432" s="3" t="inlineStr">
        <is>
          <t>금남면</t>
        </is>
      </c>
      <c r="G12432" s="3" t="inlineStr">
        <is>
          <t>축산리</t>
        </is>
      </c>
      <c r="H12432" s="3" t="inlineStr">
        <is>
          <t>단독다가구</t>
        </is>
      </c>
      <c r="I12432" s="3" t="inlineStr">
        <is>
          <t>단독</t>
        </is>
      </c>
      <c r="J12432" s="3" t="inlineStr">
        <is>
          <t>금남면</t>
        </is>
      </c>
    </row>
    <row r="12433">
      <c r="A12433" s="3" t="n">
        <v>2022</v>
      </c>
      <c r="B12433" s="4" t="n">
        <v>26000</v>
      </c>
      <c r="C12433" s="4" t="n">
        <v>655</v>
      </c>
      <c r="D12433" s="4" t="n">
        <v>198.1375</v>
      </c>
      <c r="E12433" s="5" t="n">
        <v>131.2</v>
      </c>
      <c r="F12433" s="3" t="inlineStr">
        <is>
          <t>연서면</t>
        </is>
      </c>
      <c r="G12433" s="3" t="inlineStr">
        <is>
          <t>쌍류리</t>
        </is>
      </c>
      <c r="H12433" s="3" t="inlineStr">
        <is>
          <t>단독다가구</t>
        </is>
      </c>
      <c r="I12433" s="3" t="inlineStr">
        <is>
          <t>단독</t>
        </is>
      </c>
      <c r="J12433" s="3" t="inlineStr">
        <is>
          <t>연서면</t>
        </is>
      </c>
    </row>
    <row r="12434">
      <c r="A12434" s="3" t="n">
        <v>2022</v>
      </c>
      <c r="B12434" s="4" t="n">
        <v>27400</v>
      </c>
      <c r="C12434" s="4" t="n">
        <v>271</v>
      </c>
      <c r="D12434" s="4" t="n">
        <v>81.97749999999999</v>
      </c>
      <c r="E12434" s="5" t="n">
        <v>334.2</v>
      </c>
      <c r="F12434" s="3" t="inlineStr">
        <is>
          <t>조치원읍</t>
        </is>
      </c>
      <c r="G12434" s="3" t="inlineStr">
        <is>
          <t>번암리</t>
        </is>
      </c>
      <c r="H12434" s="3" t="inlineStr">
        <is>
          <t>단독다가구</t>
        </is>
      </c>
      <c r="I12434" s="3" t="inlineStr">
        <is>
          <t>단독</t>
        </is>
      </c>
      <c r="J12434" s="3" t="inlineStr">
        <is>
          <t>조치원읍</t>
        </is>
      </c>
    </row>
    <row r="12435">
      <c r="A12435" s="3" t="n">
        <v>2022</v>
      </c>
      <c r="B12435" s="4" t="n">
        <v>46000</v>
      </c>
      <c r="C12435" s="4" t="n">
        <v>287</v>
      </c>
      <c r="D12435" s="4" t="n">
        <v>86.8175</v>
      </c>
      <c r="E12435" s="5" t="n">
        <v>529.8</v>
      </c>
      <c r="F12435" s="3" t="inlineStr">
        <is>
          <t>연기면</t>
        </is>
      </c>
      <c r="G12435" s="3" t="inlineStr">
        <is>
          <t>연기리</t>
        </is>
      </c>
      <c r="H12435" s="3" t="inlineStr">
        <is>
          <t>단독다가구</t>
        </is>
      </c>
      <c r="I12435" s="3" t="inlineStr">
        <is>
          <t>단독</t>
        </is>
      </c>
      <c r="J12435" s="3" t="inlineStr">
        <is>
          <t>연기면</t>
        </is>
      </c>
    </row>
    <row r="12436">
      <c r="A12436" s="3" t="n">
        <v>2022</v>
      </c>
      <c r="B12436" s="4" t="n">
        <v>30000</v>
      </c>
      <c r="C12436" s="4" t="n">
        <v>1041</v>
      </c>
      <c r="D12436" s="4" t="n">
        <v>314.9025</v>
      </c>
      <c r="E12436" s="5" t="n">
        <v>95.3</v>
      </c>
      <c r="F12436" s="3" t="inlineStr">
        <is>
          <t>연동면</t>
        </is>
      </c>
      <c r="G12436" s="3" t="inlineStr">
        <is>
          <t>응암리</t>
        </is>
      </c>
      <c r="H12436" s="3" t="inlineStr">
        <is>
          <t>단독다가구</t>
        </is>
      </c>
      <c r="I12436" s="3" t="inlineStr">
        <is>
          <t>단독</t>
        </is>
      </c>
      <c r="J12436" s="3" t="inlineStr">
        <is>
          <t>연동면</t>
        </is>
      </c>
    </row>
    <row r="12437">
      <c r="A12437" s="3" t="n">
        <v>2023</v>
      </c>
      <c r="B12437" s="4" t="n">
        <v>19500</v>
      </c>
      <c r="C12437" s="4" t="n">
        <v>167</v>
      </c>
      <c r="D12437" s="4" t="n">
        <v>50.5175</v>
      </c>
      <c r="E12437" s="5" t="n">
        <v>386</v>
      </c>
      <c r="F12437" s="3" t="inlineStr">
        <is>
          <t>조치원읍</t>
        </is>
      </c>
      <c r="G12437" s="3" t="inlineStr">
        <is>
          <t>평리</t>
        </is>
      </c>
      <c r="H12437" s="3" t="inlineStr">
        <is>
          <t>단독다가구</t>
        </is>
      </c>
      <c r="I12437" s="3" t="inlineStr">
        <is>
          <t>단독</t>
        </is>
      </c>
      <c r="J12437" s="3" t="inlineStr">
        <is>
          <t>조치원읍</t>
        </is>
      </c>
    </row>
    <row r="12438">
      <c r="A12438" s="3" t="n">
        <v>2023</v>
      </c>
      <c r="B12438" s="4" t="n">
        <v>60000</v>
      </c>
      <c r="C12438" s="4" t="n">
        <v>340</v>
      </c>
      <c r="D12438" s="4" t="n">
        <v>102.85</v>
      </c>
      <c r="E12438" s="5" t="n">
        <v>583.4</v>
      </c>
      <c r="F12438" s="3" t="inlineStr">
        <is>
          <t>조치원읍</t>
        </is>
      </c>
      <c r="G12438" s="3" t="inlineStr">
        <is>
          <t>신안리</t>
        </is>
      </c>
      <c r="H12438" s="3" t="inlineStr">
        <is>
          <t>단독다가구</t>
        </is>
      </c>
      <c r="I12438" s="3" t="inlineStr">
        <is>
          <t>다가구</t>
        </is>
      </c>
      <c r="J12438" s="3" t="inlineStr">
        <is>
          <t>조치원읍</t>
        </is>
      </c>
    </row>
    <row r="12439">
      <c r="A12439" s="3" t="n">
        <v>2024</v>
      </c>
      <c r="B12439" s="4" t="n">
        <v>16000</v>
      </c>
      <c r="C12439" s="4" t="n">
        <v>168</v>
      </c>
      <c r="D12439" s="4" t="n">
        <v>50.82</v>
      </c>
      <c r="E12439" s="5" t="n">
        <v>314.8</v>
      </c>
      <c r="F12439" s="3" t="inlineStr">
        <is>
          <t>조치원읍</t>
        </is>
      </c>
      <c r="G12439" s="3" t="inlineStr">
        <is>
          <t>신안리</t>
        </is>
      </c>
      <c r="H12439" s="3" t="inlineStr">
        <is>
          <t>단독다가구</t>
        </is>
      </c>
      <c r="I12439" s="3" t="inlineStr">
        <is>
          <t>단독</t>
        </is>
      </c>
      <c r="J12439" s="3" t="inlineStr">
        <is>
          <t>조치원읍</t>
        </is>
      </c>
    </row>
    <row r="12440">
      <c r="A12440" s="3" t="n">
        <v>2024</v>
      </c>
      <c r="B12440" s="4" t="n">
        <v>34100</v>
      </c>
      <c r="C12440" s="4" t="n">
        <v>532</v>
      </c>
      <c r="D12440" s="4" t="n">
        <v>160.93</v>
      </c>
      <c r="E12440" s="5" t="n">
        <v>211.9</v>
      </c>
      <c r="F12440" s="3" t="inlineStr">
        <is>
          <t>금남면</t>
        </is>
      </c>
      <c r="G12440" s="3" t="inlineStr">
        <is>
          <t>도남리</t>
        </is>
      </c>
      <c r="H12440" s="3" t="inlineStr">
        <is>
          <t>단독다가구</t>
        </is>
      </c>
      <c r="I12440" s="3" t="inlineStr">
        <is>
          <t>단독</t>
        </is>
      </c>
      <c r="J12440" s="3" t="inlineStr">
        <is>
          <t>금남면</t>
        </is>
      </c>
    </row>
    <row r="12441">
      <c r="A12441" s="3" t="n">
        <v>2024</v>
      </c>
      <c r="B12441" s="4" t="n">
        <v>37000</v>
      </c>
      <c r="C12441" s="4" t="n">
        <v>423</v>
      </c>
      <c r="D12441" s="4" t="n">
        <v>127.9575</v>
      </c>
      <c r="E12441" s="5" t="n">
        <v>289.2</v>
      </c>
      <c r="F12441" s="3" t="inlineStr">
        <is>
          <t>조치원읍</t>
        </is>
      </c>
      <c r="G12441" s="3" t="inlineStr">
        <is>
          <t>신흥리</t>
        </is>
      </c>
      <c r="H12441" s="3" t="inlineStr">
        <is>
          <t>단독다가구</t>
        </is>
      </c>
      <c r="I12441" s="3" t="inlineStr">
        <is>
          <t>단독</t>
        </is>
      </c>
      <c r="J12441" s="3" t="inlineStr">
        <is>
          <t>조치원읍</t>
        </is>
      </c>
    </row>
    <row r="12442">
      <c r="A12442" s="3" t="n">
        <v>2024</v>
      </c>
      <c r="B12442" s="4" t="n">
        <v>50000</v>
      </c>
      <c r="C12442" s="4" t="n">
        <v>441</v>
      </c>
      <c r="D12442" s="4" t="n">
        <v>133.4025</v>
      </c>
      <c r="E12442" s="5" t="n">
        <v>374.8</v>
      </c>
      <c r="F12442" s="3" t="inlineStr">
        <is>
          <t>연서면</t>
        </is>
      </c>
      <c r="G12442" s="3" t="inlineStr">
        <is>
          <t>고복리</t>
        </is>
      </c>
      <c r="H12442" s="3" t="inlineStr">
        <is>
          <t>단독다가구</t>
        </is>
      </c>
      <c r="I12442" s="3" t="inlineStr">
        <is>
          <t>단독</t>
        </is>
      </c>
      <c r="J12442" s="3" t="inlineStr">
        <is>
          <t>연서면</t>
        </is>
      </c>
    </row>
    <row r="12443">
      <c r="A12443" s="3" t="n">
        <v>2024</v>
      </c>
      <c r="B12443" s="4" t="n">
        <v>45000</v>
      </c>
      <c r="C12443" s="4" t="n">
        <v>138.8</v>
      </c>
      <c r="D12443" s="4" t="n">
        <v>41.987</v>
      </c>
      <c r="E12443" s="5" t="n">
        <v>1071.8</v>
      </c>
      <c r="F12443" s="3" t="inlineStr">
        <is>
          <t>조치원읍</t>
        </is>
      </c>
      <c r="G12443" s="3" t="inlineStr">
        <is>
          <t>교리</t>
        </is>
      </c>
      <c r="H12443" s="3" t="inlineStr">
        <is>
          <t>단독다가구</t>
        </is>
      </c>
      <c r="I12443" s="3" t="inlineStr">
        <is>
          <t>단독</t>
        </is>
      </c>
      <c r="J12443" s="3" t="inlineStr">
        <is>
          <t>조치원읍</t>
        </is>
      </c>
    </row>
    <row r="12444">
      <c r="A12444" s="3" t="n">
        <v>2024</v>
      </c>
      <c r="B12444" s="4" t="n">
        <v>9900</v>
      </c>
      <c r="C12444" s="4" t="n">
        <v>513</v>
      </c>
      <c r="D12444" s="4" t="n">
        <v>155.1825</v>
      </c>
      <c r="E12444" s="5" t="n">
        <v>63.8</v>
      </c>
      <c r="F12444" s="3" t="inlineStr">
        <is>
          <t>전의면</t>
        </is>
      </c>
      <c r="G12444" s="3" t="inlineStr">
        <is>
          <t>유천리</t>
        </is>
      </c>
      <c r="H12444" s="3" t="inlineStr">
        <is>
          <t>단독다가구</t>
        </is>
      </c>
      <c r="I12444" s="3" t="inlineStr">
        <is>
          <t>단독</t>
        </is>
      </c>
      <c r="J12444" s="3" t="inlineStr">
        <is>
          <t>전의면</t>
        </is>
      </c>
    </row>
    <row r="12445">
      <c r="A12445" s="3" t="n">
        <v>2024</v>
      </c>
      <c r="B12445" s="4" t="n">
        <v>53500</v>
      </c>
      <c r="C12445" s="4" t="n">
        <v>375</v>
      </c>
      <c r="D12445" s="4" t="n">
        <v>113.4375</v>
      </c>
      <c r="E12445" s="5" t="n">
        <v>471.6</v>
      </c>
      <c r="F12445" s="3" t="inlineStr">
        <is>
          <t>금남면</t>
        </is>
      </c>
      <c r="G12445" s="3" t="inlineStr">
        <is>
          <t>대박리</t>
        </is>
      </c>
      <c r="H12445" s="3" t="inlineStr">
        <is>
          <t>단독다가구</t>
        </is>
      </c>
      <c r="I12445" s="3" t="inlineStr">
        <is>
          <t>단독</t>
        </is>
      </c>
      <c r="J12445" s="3" t="inlineStr">
        <is>
          <t>금남면</t>
        </is>
      </c>
    </row>
    <row r="12446">
      <c r="A12446" s="3" t="n">
        <v>2024</v>
      </c>
      <c r="B12446" s="4" t="n">
        <v>30870</v>
      </c>
      <c r="C12446" s="4" t="n">
        <v>1125</v>
      </c>
      <c r="D12446" s="4" t="n">
        <v>340.3125</v>
      </c>
      <c r="E12446" s="5" t="n">
        <v>90.7</v>
      </c>
      <c r="F12446" s="3" t="inlineStr">
        <is>
          <t>장군면</t>
        </is>
      </c>
      <c r="G12446" s="3" t="inlineStr">
        <is>
          <t>송문리</t>
        </is>
      </c>
      <c r="H12446" s="3" t="inlineStr">
        <is>
          <t>단독다가구</t>
        </is>
      </c>
      <c r="I12446" s="3" t="inlineStr">
        <is>
          <t>단독</t>
        </is>
      </c>
      <c r="J12446" s="3" t="inlineStr">
        <is>
          <t>장군면</t>
        </is>
      </c>
    </row>
    <row r="12447">
      <c r="A12447" s="3" t="n">
        <v>2024</v>
      </c>
      <c r="B12447" s="4" t="n">
        <v>45000</v>
      </c>
      <c r="C12447" s="4" t="n">
        <v>387</v>
      </c>
      <c r="D12447" s="4" t="n">
        <v>117.0675</v>
      </c>
      <c r="E12447" s="5" t="n">
        <v>384.4</v>
      </c>
      <c r="F12447" s="3" t="inlineStr">
        <is>
          <t>금남면</t>
        </is>
      </c>
      <c r="G12447" s="3" t="inlineStr">
        <is>
          <t>남곡리</t>
        </is>
      </c>
      <c r="H12447" s="3" t="inlineStr">
        <is>
          <t>단독다가구</t>
        </is>
      </c>
      <c r="I12447" s="3" t="inlineStr">
        <is>
          <t>단독</t>
        </is>
      </c>
      <c r="J12447" s="3" t="inlineStr">
        <is>
          <t>금남면</t>
        </is>
      </c>
    </row>
    <row r="12448">
      <c r="A12448" s="3" t="n">
        <v>2024</v>
      </c>
      <c r="B12448" s="4" t="n">
        <v>14000</v>
      </c>
      <c r="C12448" s="4" t="n">
        <v>122</v>
      </c>
      <c r="D12448" s="4" t="n">
        <v>36.905</v>
      </c>
      <c r="E12448" s="5" t="n">
        <v>379.4</v>
      </c>
      <c r="F12448" s="3" t="inlineStr">
        <is>
          <t>조치원읍</t>
        </is>
      </c>
      <c r="G12448" s="3" t="inlineStr">
        <is>
          <t>신흥리</t>
        </is>
      </c>
      <c r="H12448" s="3" t="inlineStr">
        <is>
          <t>단독다가구</t>
        </is>
      </c>
      <c r="I12448" s="3" t="inlineStr">
        <is>
          <t>단독</t>
        </is>
      </c>
      <c r="J12448" s="3" t="inlineStr">
        <is>
          <t>조치원읍</t>
        </is>
      </c>
    </row>
    <row r="12449">
      <c r="A12449" s="3" t="n">
        <v>2024</v>
      </c>
      <c r="B12449" s="4" t="n">
        <v>8500</v>
      </c>
      <c r="C12449" s="4" t="n">
        <v>364</v>
      </c>
      <c r="D12449" s="4" t="n">
        <v>110.11</v>
      </c>
      <c r="E12449" s="5" t="n">
        <v>77.2</v>
      </c>
      <c r="F12449" s="3" t="inlineStr">
        <is>
          <t>부강면</t>
        </is>
      </c>
      <c r="G12449" s="3" t="inlineStr">
        <is>
          <t>등곡리</t>
        </is>
      </c>
      <c r="H12449" s="3" t="inlineStr">
        <is>
          <t>단독다가구</t>
        </is>
      </c>
      <c r="I12449" s="3" t="inlineStr">
        <is>
          <t>단독</t>
        </is>
      </c>
      <c r="J12449" s="3" t="inlineStr">
        <is>
          <t>부강면</t>
        </is>
      </c>
    </row>
    <row r="12450">
      <c r="A12450" s="3" t="n">
        <v>2024</v>
      </c>
      <c r="B12450" s="4" t="n">
        <v>37000</v>
      </c>
      <c r="C12450" s="4" t="n">
        <v>423</v>
      </c>
      <c r="D12450" s="4" t="n">
        <v>127.9575</v>
      </c>
      <c r="E12450" s="5" t="n">
        <v>289.2</v>
      </c>
      <c r="F12450" s="3" t="inlineStr">
        <is>
          <t>조치원읍</t>
        </is>
      </c>
      <c r="G12450" s="3" t="inlineStr">
        <is>
          <t>신흥리</t>
        </is>
      </c>
      <c r="H12450" s="3" t="inlineStr">
        <is>
          <t>단독다가구</t>
        </is>
      </c>
      <c r="I12450" s="3" t="inlineStr">
        <is>
          <t>단독</t>
        </is>
      </c>
      <c r="J12450" s="3" t="inlineStr">
        <is>
          <t>조치원읍</t>
        </is>
      </c>
    </row>
    <row r="12451">
      <c r="A12451" s="3" t="n">
        <v>2024</v>
      </c>
      <c r="B12451" s="4" t="n">
        <v>7000</v>
      </c>
      <c r="C12451" s="4" t="n">
        <v>150</v>
      </c>
      <c r="D12451" s="4" t="n">
        <v>45.375</v>
      </c>
      <c r="E12451" s="5" t="n">
        <v>154.3</v>
      </c>
      <c r="F12451" s="3" t="inlineStr">
        <is>
          <t>전동면</t>
        </is>
      </c>
      <c r="G12451" s="3" t="inlineStr">
        <is>
          <t>노장리</t>
        </is>
      </c>
      <c r="H12451" s="3" t="inlineStr">
        <is>
          <t>단독다가구</t>
        </is>
      </c>
      <c r="I12451" s="3" t="inlineStr">
        <is>
          <t>단독</t>
        </is>
      </c>
      <c r="J12451" s="3" t="inlineStr">
        <is>
          <t>전동면</t>
        </is>
      </c>
    </row>
    <row r="12452">
      <c r="A12452" s="3" t="n">
        <v>2024</v>
      </c>
      <c r="B12452" s="4" t="n">
        <v>20000</v>
      </c>
      <c r="C12452" s="4" t="n">
        <v>260</v>
      </c>
      <c r="D12452" s="4" t="n">
        <v>78.64999999999999</v>
      </c>
      <c r="E12452" s="5" t="n">
        <v>254.3</v>
      </c>
      <c r="F12452" s="3" t="inlineStr">
        <is>
          <t>연서면</t>
        </is>
      </c>
      <c r="G12452" s="3" t="inlineStr">
        <is>
          <t>봉암리</t>
        </is>
      </c>
      <c r="H12452" s="3" t="inlineStr">
        <is>
          <t>단독다가구</t>
        </is>
      </c>
      <c r="I12452" s="3" t="inlineStr">
        <is>
          <t>단독</t>
        </is>
      </c>
      <c r="J12452" s="3" t="inlineStr">
        <is>
          <t>연서면</t>
        </is>
      </c>
    </row>
    <row r="12453">
      <c r="A12453" s="3" t="n">
        <v>2024</v>
      </c>
      <c r="B12453" s="4" t="n">
        <v>8000</v>
      </c>
      <c r="C12453" s="4" t="n">
        <v>289</v>
      </c>
      <c r="D12453" s="4" t="n">
        <v>87.4225</v>
      </c>
      <c r="E12453" s="5" t="n">
        <v>91.5</v>
      </c>
      <c r="F12453" s="3" t="inlineStr">
        <is>
          <t>전동면</t>
        </is>
      </c>
      <c r="G12453" s="3" t="inlineStr">
        <is>
          <t>심중리</t>
        </is>
      </c>
      <c r="H12453" s="3" t="inlineStr">
        <is>
          <t>단독다가구</t>
        </is>
      </c>
      <c r="I12453" s="3" t="inlineStr">
        <is>
          <t>단독</t>
        </is>
      </c>
      <c r="J12453" s="3" t="inlineStr">
        <is>
          <t>전동면</t>
        </is>
      </c>
    </row>
    <row r="12454">
      <c r="A12454" s="3" t="n">
        <v>2024</v>
      </c>
      <c r="B12454" s="4" t="n">
        <v>48540</v>
      </c>
      <c r="C12454" s="4" t="n">
        <v>290</v>
      </c>
      <c r="D12454" s="4" t="n">
        <v>87.72499999999999</v>
      </c>
      <c r="E12454" s="5" t="n">
        <v>553.3</v>
      </c>
      <c r="F12454" s="3" t="inlineStr">
        <is>
          <t>장군면</t>
        </is>
      </c>
      <c r="G12454" s="3" t="inlineStr">
        <is>
          <t>대교리</t>
        </is>
      </c>
      <c r="H12454" s="3" t="inlineStr">
        <is>
          <t>단독다가구</t>
        </is>
      </c>
      <c r="I12454" s="3" t="inlineStr">
        <is>
          <t>단독</t>
        </is>
      </c>
      <c r="J12454" s="3" t="inlineStr">
        <is>
          <t>장군면</t>
        </is>
      </c>
    </row>
    <row r="12455">
      <c r="A12455" s="3" t="n">
        <v>2024</v>
      </c>
      <c r="B12455" s="4" t="n">
        <v>10200</v>
      </c>
      <c r="C12455" s="4" t="n">
        <v>88</v>
      </c>
      <c r="D12455" s="4" t="n">
        <v>26.62</v>
      </c>
      <c r="E12455" s="5" t="n">
        <v>383.2</v>
      </c>
      <c r="F12455" s="3" t="inlineStr">
        <is>
          <t>부강면</t>
        </is>
      </c>
      <c r="G12455" s="3" t="inlineStr">
        <is>
          <t>부강리</t>
        </is>
      </c>
      <c r="H12455" s="3" t="inlineStr">
        <is>
          <t>단독다가구</t>
        </is>
      </c>
      <c r="I12455" s="3" t="inlineStr">
        <is>
          <t>단독</t>
        </is>
      </c>
      <c r="J12455" s="3" t="inlineStr">
        <is>
          <t>부강면</t>
        </is>
      </c>
    </row>
    <row r="12456">
      <c r="A12456" s="3" t="n">
        <v>2024</v>
      </c>
      <c r="B12456" s="4" t="n">
        <v>115000</v>
      </c>
      <c r="C12456" s="4" t="n">
        <v>266.9</v>
      </c>
      <c r="D12456" s="4" t="n">
        <v>80.73724999999999</v>
      </c>
      <c r="E12456" s="5" t="n">
        <v>1424.4</v>
      </c>
      <c r="F12456" s="3" t="inlineStr">
        <is>
          <t>조치원읍</t>
        </is>
      </c>
      <c r="G12456" s="3" t="inlineStr">
        <is>
          <t>침산리</t>
        </is>
      </c>
      <c r="H12456" s="3" t="inlineStr">
        <is>
          <t>단독다가구</t>
        </is>
      </c>
      <c r="I12456" s="3" t="inlineStr">
        <is>
          <t>다가구</t>
        </is>
      </c>
      <c r="J12456" s="3" t="inlineStr">
        <is>
          <t>조치원읍</t>
        </is>
      </c>
    </row>
    <row r="12457">
      <c r="A12457" s="3" t="n">
        <v>2024</v>
      </c>
      <c r="B12457" s="4" t="n">
        <v>54000</v>
      </c>
      <c r="C12457" s="4" t="n">
        <v>343</v>
      </c>
      <c r="D12457" s="4" t="n">
        <v>103.7575</v>
      </c>
      <c r="E12457" s="5" t="n">
        <v>520.4</v>
      </c>
      <c r="F12457" s="3" t="inlineStr">
        <is>
          <t>조치원읍</t>
        </is>
      </c>
      <c r="G12457" s="3" t="inlineStr">
        <is>
          <t>죽림리</t>
        </is>
      </c>
      <c r="H12457" s="3" t="inlineStr">
        <is>
          <t>단독다가구</t>
        </is>
      </c>
      <c r="I12457" s="3" t="inlineStr">
        <is>
          <t>단독</t>
        </is>
      </c>
      <c r="J12457" s="3" t="inlineStr">
        <is>
          <t>조치원읍</t>
        </is>
      </c>
    </row>
    <row r="12458">
      <c r="A12458" s="3" t="n">
        <v>2023</v>
      </c>
      <c r="B12458" s="4" t="n">
        <v>56000</v>
      </c>
      <c r="C12458" s="4" t="n">
        <v>237.8</v>
      </c>
      <c r="D12458" s="4" t="n">
        <v>71.9345</v>
      </c>
      <c r="E12458" s="5" t="n">
        <v>778.5</v>
      </c>
      <c r="F12458" s="3" t="inlineStr">
        <is>
          <t>조치원읍</t>
        </is>
      </c>
      <c r="G12458" s="3" t="inlineStr">
        <is>
          <t>서창리</t>
        </is>
      </c>
      <c r="H12458" s="3" t="inlineStr">
        <is>
          <t>단독다가구</t>
        </is>
      </c>
      <c r="I12458" s="3" t="inlineStr">
        <is>
          <t>다가구</t>
        </is>
      </c>
      <c r="J12458" s="3" t="inlineStr">
        <is>
          <t>조치원읍</t>
        </is>
      </c>
    </row>
    <row r="12459">
      <c r="A12459" s="3" t="n">
        <v>2023</v>
      </c>
      <c r="B12459" s="4" t="n">
        <v>34850</v>
      </c>
      <c r="C12459" s="4" t="n">
        <v>699</v>
      </c>
      <c r="D12459" s="4" t="n">
        <v>211.4475</v>
      </c>
      <c r="E12459" s="5" t="n">
        <v>164.8</v>
      </c>
      <c r="F12459" s="3" t="inlineStr">
        <is>
          <t>전동면</t>
        </is>
      </c>
      <c r="G12459" s="3" t="inlineStr">
        <is>
          <t>청송리</t>
        </is>
      </c>
      <c r="H12459" s="3" t="inlineStr">
        <is>
          <t>단독다가구</t>
        </is>
      </c>
      <c r="I12459" s="3" t="inlineStr">
        <is>
          <t>단독</t>
        </is>
      </c>
      <c r="J12459" s="3" t="inlineStr">
        <is>
          <t>전동면</t>
        </is>
      </c>
    </row>
    <row r="12460">
      <c r="A12460" s="3" t="n">
        <v>2023</v>
      </c>
      <c r="B12460" s="4" t="n">
        <v>7000</v>
      </c>
      <c r="C12460" s="4" t="n">
        <v>96</v>
      </c>
      <c r="D12460" s="4" t="n">
        <v>29.04</v>
      </c>
      <c r="E12460" s="5" t="n">
        <v>241</v>
      </c>
      <c r="F12460" s="3" t="inlineStr">
        <is>
          <t>조치원읍</t>
        </is>
      </c>
      <c r="G12460" s="3" t="inlineStr">
        <is>
          <t>서창리</t>
        </is>
      </c>
      <c r="H12460" s="3" t="inlineStr">
        <is>
          <t>단독다가구</t>
        </is>
      </c>
      <c r="I12460" s="3" t="inlineStr">
        <is>
          <t>단독</t>
        </is>
      </c>
      <c r="J12460" s="3" t="inlineStr">
        <is>
          <t>조치원읍</t>
        </is>
      </c>
    </row>
    <row r="12461">
      <c r="A12461" s="3" t="n">
        <v>2023</v>
      </c>
      <c r="B12461" s="4" t="n">
        <v>24854</v>
      </c>
      <c r="C12461" s="4" t="n">
        <v>410</v>
      </c>
      <c r="D12461" s="4" t="n">
        <v>124.025</v>
      </c>
      <c r="E12461" s="5" t="n">
        <v>200.4</v>
      </c>
      <c r="F12461" s="3" t="inlineStr">
        <is>
          <t>연기면</t>
        </is>
      </c>
      <c r="G12461" s="3" t="inlineStr">
        <is>
          <t>눌왕리</t>
        </is>
      </c>
      <c r="H12461" s="3" t="inlineStr">
        <is>
          <t>단독다가구</t>
        </is>
      </c>
      <c r="I12461" s="3" t="inlineStr">
        <is>
          <t>단독</t>
        </is>
      </c>
      <c r="J12461" s="3" t="inlineStr">
        <is>
          <t>연기면</t>
        </is>
      </c>
    </row>
    <row r="12462">
      <c r="A12462" s="3" t="n">
        <v>2022</v>
      </c>
      <c r="B12462" s="4" t="n">
        <v>144400</v>
      </c>
      <c r="C12462" s="4" t="n">
        <v>353</v>
      </c>
      <c r="D12462" s="4" t="n">
        <v>106.7825</v>
      </c>
      <c r="E12462" s="5" t="n">
        <v>1352.3</v>
      </c>
      <c r="F12462" s="3" t="inlineStr">
        <is>
          <t>조치원읍</t>
        </is>
      </c>
      <c r="G12462" s="3" t="inlineStr">
        <is>
          <t>남리</t>
        </is>
      </c>
      <c r="H12462" s="3" t="inlineStr">
        <is>
          <t>단독다가구</t>
        </is>
      </c>
      <c r="I12462" s="3" t="inlineStr">
        <is>
          <t>다가구</t>
        </is>
      </c>
      <c r="J12462" s="3" t="inlineStr">
        <is>
          <t>조치원읍</t>
        </is>
      </c>
    </row>
    <row r="12463">
      <c r="A12463" s="3" t="n">
        <v>2022</v>
      </c>
      <c r="B12463" s="4" t="n">
        <v>27880</v>
      </c>
      <c r="C12463" s="4" t="n">
        <v>542</v>
      </c>
      <c r="D12463" s="4" t="n">
        <v>163.955</v>
      </c>
      <c r="E12463" s="5" t="n">
        <v>170</v>
      </c>
      <c r="F12463" s="3" t="inlineStr">
        <is>
          <t>연서면</t>
        </is>
      </c>
      <c r="G12463" s="3" t="inlineStr">
        <is>
          <t>와촌리</t>
        </is>
      </c>
      <c r="H12463" s="3" t="inlineStr">
        <is>
          <t>단독다가구</t>
        </is>
      </c>
      <c r="I12463" s="3" t="inlineStr">
        <is>
          <t>단독</t>
        </is>
      </c>
      <c r="J12463" s="3" t="inlineStr">
        <is>
          <t>연서면</t>
        </is>
      </c>
    </row>
    <row r="12464">
      <c r="A12464" s="3" t="n">
        <v>2022</v>
      </c>
      <c r="B12464" s="4" t="n">
        <v>54000</v>
      </c>
      <c r="C12464" s="4" t="n">
        <v>270.8</v>
      </c>
      <c r="D12464" s="4" t="n">
        <v>81.917</v>
      </c>
      <c r="E12464" s="5" t="n">
        <v>659.2</v>
      </c>
      <c r="F12464" s="3" t="inlineStr">
        <is>
          <t>조치원읍</t>
        </is>
      </c>
      <c r="G12464" s="3" t="inlineStr">
        <is>
          <t>남리</t>
        </is>
      </c>
      <c r="H12464" s="3" t="inlineStr">
        <is>
          <t>단독다가구</t>
        </is>
      </c>
      <c r="I12464" s="3" t="inlineStr">
        <is>
          <t>다가구</t>
        </is>
      </c>
      <c r="J12464" s="3" t="inlineStr">
        <is>
          <t>조치원읍</t>
        </is>
      </c>
    </row>
    <row r="12465">
      <c r="A12465" s="3" t="n">
        <v>2022</v>
      </c>
      <c r="B12465" s="4" t="n">
        <v>60000</v>
      </c>
      <c r="C12465" s="4" t="n">
        <v>224.3</v>
      </c>
      <c r="D12465" s="4" t="n">
        <v>67.85075000000001</v>
      </c>
      <c r="E12465" s="5" t="n">
        <v>884.3</v>
      </c>
      <c r="F12465" s="3" t="inlineStr">
        <is>
          <t>조치원읍</t>
        </is>
      </c>
      <c r="G12465" s="3" t="inlineStr">
        <is>
          <t>서창리</t>
        </is>
      </c>
      <c r="H12465" s="3" t="inlineStr">
        <is>
          <t>단독다가구</t>
        </is>
      </c>
      <c r="I12465" s="3" t="inlineStr">
        <is>
          <t>다가구</t>
        </is>
      </c>
      <c r="J12465" s="3" t="inlineStr">
        <is>
          <t>조치원읍</t>
        </is>
      </c>
    </row>
    <row r="12466">
      <c r="A12466" s="3" t="n">
        <v>2022</v>
      </c>
      <c r="B12466" s="4" t="n">
        <v>41000</v>
      </c>
      <c r="C12466" s="4" t="n">
        <v>233.1</v>
      </c>
      <c r="D12466" s="4" t="n">
        <v>70.51275</v>
      </c>
      <c r="E12466" s="5" t="n">
        <v>581.5</v>
      </c>
      <c r="F12466" s="3" t="inlineStr">
        <is>
          <t>조치원읍</t>
        </is>
      </c>
      <c r="G12466" s="3" t="inlineStr">
        <is>
          <t>교리</t>
        </is>
      </c>
      <c r="H12466" s="3" t="inlineStr">
        <is>
          <t>단독다가구</t>
        </is>
      </c>
      <c r="I12466" s="3" t="inlineStr">
        <is>
          <t>단독</t>
        </is>
      </c>
      <c r="J12466" s="3" t="inlineStr">
        <is>
          <t>조치원읍</t>
        </is>
      </c>
    </row>
    <row r="12467">
      <c r="A12467" s="3" t="n">
        <v>2022</v>
      </c>
      <c r="B12467" s="4" t="n">
        <v>23000</v>
      </c>
      <c r="C12467" s="4" t="n">
        <v>166</v>
      </c>
      <c r="D12467" s="4" t="n">
        <v>50.215</v>
      </c>
      <c r="E12467" s="5" t="n">
        <v>458</v>
      </c>
      <c r="F12467" s="3" t="inlineStr">
        <is>
          <t>조치원읍</t>
        </is>
      </c>
      <c r="G12467" s="3" t="inlineStr">
        <is>
          <t>신안리</t>
        </is>
      </c>
      <c r="H12467" s="3" t="inlineStr">
        <is>
          <t>단독다가구</t>
        </is>
      </c>
      <c r="I12467" s="3" t="inlineStr">
        <is>
          <t>단독</t>
        </is>
      </c>
      <c r="J12467" s="3" t="inlineStr">
        <is>
          <t>조치원읍</t>
        </is>
      </c>
    </row>
    <row r="12468">
      <c r="A12468" s="3" t="n">
        <v>2022</v>
      </c>
      <c r="B12468" s="4" t="n">
        <v>36300</v>
      </c>
      <c r="C12468" s="4" t="n">
        <v>159</v>
      </c>
      <c r="D12468" s="4" t="n">
        <v>48.0975</v>
      </c>
      <c r="E12468" s="5" t="n">
        <v>754.7</v>
      </c>
      <c r="F12468" s="3" t="inlineStr">
        <is>
          <t>조치원읍</t>
        </is>
      </c>
      <c r="G12468" s="3" t="inlineStr">
        <is>
          <t>죽림리</t>
        </is>
      </c>
      <c r="H12468" s="3" t="inlineStr">
        <is>
          <t>단독다가구</t>
        </is>
      </c>
      <c r="I12468" s="3" t="inlineStr">
        <is>
          <t>단독</t>
        </is>
      </c>
      <c r="J12468" s="3" t="inlineStr">
        <is>
          <t>조치원읍</t>
        </is>
      </c>
    </row>
    <row r="12469">
      <c r="A12469" s="3" t="n">
        <v>2022</v>
      </c>
      <c r="B12469" s="4" t="n">
        <v>25000</v>
      </c>
      <c r="C12469" s="4" t="n">
        <v>175</v>
      </c>
      <c r="D12469" s="4" t="n">
        <v>52.9375</v>
      </c>
      <c r="E12469" s="5" t="n">
        <v>472.3</v>
      </c>
      <c r="F12469" s="3" t="inlineStr">
        <is>
          <t>조치원읍</t>
        </is>
      </c>
      <c r="G12469" s="3" t="inlineStr">
        <is>
          <t>신흥리</t>
        </is>
      </c>
      <c r="H12469" s="3" t="inlineStr">
        <is>
          <t>단독다가구</t>
        </is>
      </c>
      <c r="I12469" s="3" t="inlineStr">
        <is>
          <t>단독</t>
        </is>
      </c>
      <c r="J12469" s="3" t="inlineStr">
        <is>
          <t>조치원읍</t>
        </is>
      </c>
    </row>
    <row r="12470">
      <c r="A12470" s="3" t="n">
        <v>2022</v>
      </c>
      <c r="B12470" s="4" t="n">
        <v>115000</v>
      </c>
      <c r="C12470" s="4" t="n">
        <v>354.9</v>
      </c>
      <c r="D12470" s="4" t="n">
        <v>107.35725</v>
      </c>
      <c r="E12470" s="5" t="n">
        <v>1071.2</v>
      </c>
      <c r="F12470" s="3" t="inlineStr">
        <is>
          <t>아름동</t>
        </is>
      </c>
      <c r="G12470" s="3" t="inlineStr"/>
      <c r="H12470" s="3" t="inlineStr">
        <is>
          <t>단독다가구</t>
        </is>
      </c>
      <c r="I12470" s="3" t="inlineStr">
        <is>
          <t>단독</t>
        </is>
      </c>
      <c r="J12470" s="3" t="inlineStr">
        <is>
          <t>아름동</t>
        </is>
      </c>
    </row>
    <row r="12471">
      <c r="A12471" s="3" t="n">
        <v>2022</v>
      </c>
      <c r="B12471" s="4" t="n">
        <v>18000</v>
      </c>
      <c r="C12471" s="4" t="n">
        <v>136</v>
      </c>
      <c r="D12471" s="4" t="n">
        <v>41.14</v>
      </c>
      <c r="E12471" s="5" t="n">
        <v>437.5</v>
      </c>
      <c r="F12471" s="3" t="inlineStr">
        <is>
          <t>조치원읍</t>
        </is>
      </c>
      <c r="G12471" s="3" t="inlineStr">
        <is>
          <t>봉산리</t>
        </is>
      </c>
      <c r="H12471" s="3" t="inlineStr">
        <is>
          <t>단독다가구</t>
        </is>
      </c>
      <c r="I12471" s="3" t="inlineStr">
        <is>
          <t>단독</t>
        </is>
      </c>
      <c r="J12471" s="3" t="inlineStr">
        <is>
          <t>조치원읍</t>
        </is>
      </c>
    </row>
    <row r="12472">
      <c r="A12472" s="3" t="n">
        <v>2022</v>
      </c>
      <c r="B12472" s="4" t="n">
        <v>35000</v>
      </c>
      <c r="C12472" s="4" t="n">
        <v>593</v>
      </c>
      <c r="D12472" s="4" t="n">
        <v>179.3825</v>
      </c>
      <c r="E12472" s="5" t="n">
        <v>195.1</v>
      </c>
      <c r="F12472" s="3" t="inlineStr">
        <is>
          <t>연서면</t>
        </is>
      </c>
      <c r="G12472" s="3" t="inlineStr">
        <is>
          <t>쌍류리</t>
        </is>
      </c>
      <c r="H12472" s="3" t="inlineStr">
        <is>
          <t>단독다가구</t>
        </is>
      </c>
      <c r="I12472" s="3" t="inlineStr">
        <is>
          <t>단독</t>
        </is>
      </c>
      <c r="J12472" s="3" t="inlineStr">
        <is>
          <t>연서면</t>
        </is>
      </c>
    </row>
    <row r="12473">
      <c r="A12473" s="3" t="n">
        <v>2022</v>
      </c>
      <c r="B12473" s="4" t="n">
        <v>46455</v>
      </c>
      <c r="C12473" s="4" t="n">
        <v>539</v>
      </c>
      <c r="D12473" s="4" t="n">
        <v>163.0475</v>
      </c>
      <c r="E12473" s="5" t="n">
        <v>284.9</v>
      </c>
      <c r="F12473" s="3" t="inlineStr">
        <is>
          <t>연서면</t>
        </is>
      </c>
      <c r="G12473" s="3" t="inlineStr">
        <is>
          <t>월하리</t>
        </is>
      </c>
      <c r="H12473" s="3" t="inlineStr">
        <is>
          <t>단독다가구</t>
        </is>
      </c>
      <c r="I12473" s="3" t="inlineStr">
        <is>
          <t>단독</t>
        </is>
      </c>
      <c r="J12473" s="3" t="inlineStr">
        <is>
          <t>연서면</t>
        </is>
      </c>
    </row>
    <row r="12474">
      <c r="A12474" s="3" t="n">
        <v>2022</v>
      </c>
      <c r="B12474" s="4" t="n">
        <v>86800</v>
      </c>
      <c r="C12474" s="4" t="n">
        <v>544</v>
      </c>
      <c r="D12474" s="4" t="n">
        <v>164.56</v>
      </c>
      <c r="E12474" s="5" t="n">
        <v>527.5</v>
      </c>
      <c r="F12474" s="3" t="inlineStr">
        <is>
          <t>조치원읍</t>
        </is>
      </c>
      <c r="G12474" s="3" t="inlineStr">
        <is>
          <t>신안리</t>
        </is>
      </c>
      <c r="H12474" s="3" t="inlineStr">
        <is>
          <t>단독다가구</t>
        </is>
      </c>
      <c r="I12474" s="3" t="inlineStr">
        <is>
          <t>단독</t>
        </is>
      </c>
      <c r="J12474" s="3" t="inlineStr">
        <is>
          <t>조치원읍</t>
        </is>
      </c>
    </row>
    <row r="12475">
      <c r="A12475" s="3" t="n">
        <v>2022</v>
      </c>
      <c r="B12475" s="4" t="n">
        <v>30000</v>
      </c>
      <c r="C12475" s="4" t="n">
        <v>330</v>
      </c>
      <c r="D12475" s="4" t="n">
        <v>99.825</v>
      </c>
      <c r="E12475" s="5" t="n">
        <v>300.5</v>
      </c>
      <c r="F12475" s="3" t="inlineStr">
        <is>
          <t>금남면</t>
        </is>
      </c>
      <c r="G12475" s="3" t="inlineStr">
        <is>
          <t>두만리</t>
        </is>
      </c>
      <c r="H12475" s="3" t="inlineStr">
        <is>
          <t>단독다가구</t>
        </is>
      </c>
      <c r="I12475" s="3" t="inlineStr">
        <is>
          <t>단독</t>
        </is>
      </c>
      <c r="J12475" s="3" t="inlineStr">
        <is>
          <t>금남면</t>
        </is>
      </c>
    </row>
    <row r="12476">
      <c r="A12476" s="3" t="n">
        <v>2022</v>
      </c>
      <c r="B12476" s="4" t="n">
        <v>48000</v>
      </c>
      <c r="C12476" s="4" t="n">
        <v>474</v>
      </c>
      <c r="D12476" s="4" t="n">
        <v>143.385</v>
      </c>
      <c r="E12476" s="5" t="n">
        <v>334.8</v>
      </c>
      <c r="F12476" s="3" t="inlineStr">
        <is>
          <t>장군면</t>
        </is>
      </c>
      <c r="G12476" s="3" t="inlineStr">
        <is>
          <t>금암리</t>
        </is>
      </c>
      <c r="H12476" s="3" t="inlineStr">
        <is>
          <t>단독다가구</t>
        </is>
      </c>
      <c r="I12476" s="3" t="inlineStr">
        <is>
          <t>다가구</t>
        </is>
      </c>
      <c r="J12476" s="3" t="inlineStr">
        <is>
          <t>장군면</t>
        </is>
      </c>
    </row>
    <row r="12477">
      <c r="A12477" s="3" t="n">
        <v>2022</v>
      </c>
      <c r="B12477" s="4" t="n">
        <v>23300</v>
      </c>
      <c r="C12477" s="4" t="n">
        <v>200</v>
      </c>
      <c r="D12477" s="4" t="n">
        <v>60.5</v>
      </c>
      <c r="E12477" s="5" t="n">
        <v>385.1</v>
      </c>
      <c r="F12477" s="3" t="inlineStr">
        <is>
          <t>연서면</t>
        </is>
      </c>
      <c r="G12477" s="3" t="inlineStr">
        <is>
          <t>국촌리</t>
        </is>
      </c>
      <c r="H12477" s="3" t="inlineStr">
        <is>
          <t>단독다가구</t>
        </is>
      </c>
      <c r="I12477" s="3" t="inlineStr">
        <is>
          <t>단독</t>
        </is>
      </c>
      <c r="J12477" s="3" t="inlineStr">
        <is>
          <t>연서면</t>
        </is>
      </c>
    </row>
    <row r="12478">
      <c r="A12478" s="3" t="n">
        <v>2022</v>
      </c>
      <c r="B12478" s="4" t="n">
        <v>12000</v>
      </c>
      <c r="C12478" s="4" t="n">
        <v>129</v>
      </c>
      <c r="D12478" s="4" t="n">
        <v>39.0225</v>
      </c>
      <c r="E12478" s="5" t="n">
        <v>307.5</v>
      </c>
      <c r="F12478" s="3" t="inlineStr">
        <is>
          <t>전동면</t>
        </is>
      </c>
      <c r="G12478" s="3" t="inlineStr">
        <is>
          <t>노장리</t>
        </is>
      </c>
      <c r="H12478" s="3" t="inlineStr">
        <is>
          <t>단독다가구</t>
        </is>
      </c>
      <c r="I12478" s="3" t="inlineStr">
        <is>
          <t>단독</t>
        </is>
      </c>
      <c r="J12478" s="3" t="inlineStr">
        <is>
          <t>전동면</t>
        </is>
      </c>
    </row>
    <row r="12479">
      <c r="A12479" s="3" t="n">
        <v>2022</v>
      </c>
      <c r="B12479" s="4" t="n">
        <v>34000</v>
      </c>
      <c r="C12479" s="4" t="n">
        <v>373</v>
      </c>
      <c r="D12479" s="4" t="n">
        <v>112.8325</v>
      </c>
      <c r="E12479" s="5" t="n">
        <v>301.3</v>
      </c>
      <c r="F12479" s="3" t="inlineStr">
        <is>
          <t>금남면</t>
        </is>
      </c>
      <c r="G12479" s="3" t="inlineStr">
        <is>
          <t>영대리</t>
        </is>
      </c>
      <c r="H12479" s="3" t="inlineStr">
        <is>
          <t>단독다가구</t>
        </is>
      </c>
      <c r="I12479" s="3" t="inlineStr">
        <is>
          <t>단독</t>
        </is>
      </c>
      <c r="J12479" s="3" t="inlineStr">
        <is>
          <t>금남면</t>
        </is>
      </c>
    </row>
    <row r="12480">
      <c r="A12480" s="3" t="n">
        <v>2022</v>
      </c>
      <c r="B12480" s="4" t="n">
        <v>10000</v>
      </c>
      <c r="C12480" s="4" t="n">
        <v>347</v>
      </c>
      <c r="D12480" s="4" t="n">
        <v>104.9675</v>
      </c>
      <c r="E12480" s="5" t="n">
        <v>95.3</v>
      </c>
      <c r="F12480" s="3" t="inlineStr">
        <is>
          <t>부강면</t>
        </is>
      </c>
      <c r="G12480" s="3" t="inlineStr">
        <is>
          <t>부강리</t>
        </is>
      </c>
      <c r="H12480" s="3" t="inlineStr">
        <is>
          <t>단독다가구</t>
        </is>
      </c>
      <c r="I12480" s="3" t="inlineStr">
        <is>
          <t>단독</t>
        </is>
      </c>
      <c r="J12480" s="3" t="inlineStr">
        <is>
          <t>부강면</t>
        </is>
      </c>
    </row>
    <row r="12481">
      <c r="A12481" s="3" t="n">
        <v>2022</v>
      </c>
      <c r="B12481" s="4" t="n">
        <v>113300</v>
      </c>
      <c r="C12481" s="4" t="n">
        <v>491</v>
      </c>
      <c r="D12481" s="4" t="n">
        <v>148.5275</v>
      </c>
      <c r="E12481" s="5" t="n">
        <v>762.8</v>
      </c>
      <c r="F12481" s="3" t="inlineStr">
        <is>
          <t>장군면</t>
        </is>
      </c>
      <c r="G12481" s="3" t="inlineStr">
        <is>
          <t>봉안리</t>
        </is>
      </c>
      <c r="H12481" s="3" t="inlineStr">
        <is>
          <t>단독다가구</t>
        </is>
      </c>
      <c r="I12481" s="3" t="inlineStr">
        <is>
          <t>다가구</t>
        </is>
      </c>
      <c r="J12481" s="3" t="inlineStr">
        <is>
          <t>장군면</t>
        </is>
      </c>
    </row>
    <row r="12482">
      <c r="A12482" s="3" t="n">
        <v>2022</v>
      </c>
      <c r="B12482" s="4" t="n">
        <v>10500</v>
      </c>
      <c r="C12482" s="4" t="n">
        <v>172</v>
      </c>
      <c r="D12482" s="4" t="n">
        <v>52.03</v>
      </c>
      <c r="E12482" s="5" t="n">
        <v>201.8</v>
      </c>
      <c r="F12482" s="3" t="inlineStr">
        <is>
          <t>조치원읍</t>
        </is>
      </c>
      <c r="G12482" s="3" t="inlineStr">
        <is>
          <t>평리</t>
        </is>
      </c>
      <c r="H12482" s="3" t="inlineStr">
        <is>
          <t>단독다가구</t>
        </is>
      </c>
      <c r="I12482" s="3" t="inlineStr">
        <is>
          <t>단독</t>
        </is>
      </c>
      <c r="J12482" s="3" t="inlineStr">
        <is>
          <t>조치원읍</t>
        </is>
      </c>
    </row>
    <row r="12483">
      <c r="A12483" s="3" t="n">
        <v>2022</v>
      </c>
      <c r="B12483" s="4" t="n">
        <v>25000</v>
      </c>
      <c r="C12483" s="4" t="n">
        <v>394</v>
      </c>
      <c r="D12483" s="4" t="n">
        <v>119.185</v>
      </c>
      <c r="E12483" s="5" t="n">
        <v>209.8</v>
      </c>
      <c r="F12483" s="3" t="inlineStr">
        <is>
          <t>소정면</t>
        </is>
      </c>
      <c r="G12483" s="3" t="inlineStr">
        <is>
          <t>대곡리</t>
        </is>
      </c>
      <c r="H12483" s="3" t="inlineStr">
        <is>
          <t>단독다가구</t>
        </is>
      </c>
      <c r="I12483" s="3" t="inlineStr">
        <is>
          <t>단독</t>
        </is>
      </c>
      <c r="J12483" s="3" t="inlineStr">
        <is>
          <t>소정면</t>
        </is>
      </c>
    </row>
    <row r="12484">
      <c r="A12484" s="3" t="n">
        <v>2022</v>
      </c>
      <c r="B12484" s="4" t="n">
        <v>32000</v>
      </c>
      <c r="C12484" s="4" t="n">
        <v>718</v>
      </c>
      <c r="D12484" s="4" t="n">
        <v>217.195</v>
      </c>
      <c r="E12484" s="5" t="n">
        <v>147.3</v>
      </c>
      <c r="F12484" s="3" t="inlineStr">
        <is>
          <t>소정면</t>
        </is>
      </c>
      <c r="G12484" s="3" t="inlineStr">
        <is>
          <t>대곡리</t>
        </is>
      </c>
      <c r="H12484" s="3" t="inlineStr">
        <is>
          <t>단독다가구</t>
        </is>
      </c>
      <c r="I12484" s="3" t="inlineStr">
        <is>
          <t>단독</t>
        </is>
      </c>
      <c r="J12484" s="3" t="inlineStr">
        <is>
          <t>소정면</t>
        </is>
      </c>
    </row>
    <row r="12485">
      <c r="A12485" s="3" t="n">
        <v>2022</v>
      </c>
      <c r="B12485" s="4" t="n">
        <v>119000</v>
      </c>
      <c r="C12485" s="4" t="n">
        <v>767</v>
      </c>
      <c r="D12485" s="4" t="n">
        <v>232.0175</v>
      </c>
      <c r="E12485" s="5" t="n">
        <v>512.9</v>
      </c>
      <c r="F12485" s="3" t="inlineStr">
        <is>
          <t>연서면</t>
        </is>
      </c>
      <c r="G12485" s="3" t="inlineStr">
        <is>
          <t>봉암리</t>
        </is>
      </c>
      <c r="H12485" s="3" t="inlineStr">
        <is>
          <t>단독다가구</t>
        </is>
      </c>
      <c r="I12485" s="3" t="inlineStr">
        <is>
          <t>단독</t>
        </is>
      </c>
      <c r="J12485" s="3" t="inlineStr">
        <is>
          <t>연서면</t>
        </is>
      </c>
    </row>
    <row r="12486">
      <c r="A12486" s="3" t="n">
        <v>2022</v>
      </c>
      <c r="B12486" s="4" t="n">
        <v>23500</v>
      </c>
      <c r="C12486" s="4" t="n">
        <v>151</v>
      </c>
      <c r="D12486" s="4" t="n">
        <v>45.6775</v>
      </c>
      <c r="E12486" s="5" t="n">
        <v>514.5</v>
      </c>
      <c r="F12486" s="3" t="inlineStr">
        <is>
          <t>조치원읍</t>
        </is>
      </c>
      <c r="G12486" s="3" t="inlineStr">
        <is>
          <t>남리</t>
        </is>
      </c>
      <c r="H12486" s="3" t="inlineStr">
        <is>
          <t>단독다가구</t>
        </is>
      </c>
      <c r="I12486" s="3" t="inlineStr">
        <is>
          <t>단독</t>
        </is>
      </c>
      <c r="J12486" s="3" t="inlineStr">
        <is>
          <t>조치원읍</t>
        </is>
      </c>
    </row>
    <row r="12487">
      <c r="A12487" s="3" t="n">
        <v>2022</v>
      </c>
      <c r="B12487" s="4" t="n">
        <v>123000</v>
      </c>
      <c r="C12487" s="4" t="n">
        <v>342.5</v>
      </c>
      <c r="D12487" s="4" t="n">
        <v>103.60625</v>
      </c>
      <c r="E12487" s="5" t="n">
        <v>1187.2</v>
      </c>
      <c r="F12487" s="3" t="inlineStr">
        <is>
          <t>조치원읍</t>
        </is>
      </c>
      <c r="G12487" s="3" t="inlineStr">
        <is>
          <t>교리</t>
        </is>
      </c>
      <c r="H12487" s="3" t="inlineStr">
        <is>
          <t>단독다가구</t>
        </is>
      </c>
      <c r="I12487" s="3" t="inlineStr">
        <is>
          <t>다가구</t>
        </is>
      </c>
      <c r="J12487" s="3" t="inlineStr">
        <is>
          <t>조치원읍</t>
        </is>
      </c>
    </row>
    <row r="12488">
      <c r="A12488" s="3" t="n">
        <v>2022</v>
      </c>
      <c r="B12488" s="4" t="n">
        <v>35000</v>
      </c>
      <c r="C12488" s="4" t="n">
        <v>257</v>
      </c>
      <c r="D12488" s="4" t="n">
        <v>77.74249999999999</v>
      </c>
      <c r="E12488" s="5" t="n">
        <v>450.2</v>
      </c>
      <c r="F12488" s="3" t="inlineStr">
        <is>
          <t>조치원읍</t>
        </is>
      </c>
      <c r="G12488" s="3" t="inlineStr">
        <is>
          <t>명리</t>
        </is>
      </c>
      <c r="H12488" s="3" t="inlineStr">
        <is>
          <t>단독다가구</t>
        </is>
      </c>
      <c r="I12488" s="3" t="inlineStr">
        <is>
          <t>단독</t>
        </is>
      </c>
      <c r="J12488" s="3" t="inlineStr">
        <is>
          <t>조치원읍</t>
        </is>
      </c>
    </row>
    <row r="12489">
      <c r="A12489" s="3" t="n">
        <v>2022</v>
      </c>
      <c r="B12489" s="4" t="n">
        <v>64500</v>
      </c>
      <c r="C12489" s="4" t="n">
        <v>239</v>
      </c>
      <c r="D12489" s="4" t="n">
        <v>72.2975</v>
      </c>
      <c r="E12489" s="5" t="n">
        <v>892.1</v>
      </c>
      <c r="F12489" s="3" t="inlineStr">
        <is>
          <t>조치원읍</t>
        </is>
      </c>
      <c r="G12489" s="3" t="inlineStr">
        <is>
          <t>신안리</t>
        </is>
      </c>
      <c r="H12489" s="3" t="inlineStr">
        <is>
          <t>단독다가구</t>
        </is>
      </c>
      <c r="I12489" s="3" t="inlineStr">
        <is>
          <t>다가구</t>
        </is>
      </c>
      <c r="J12489" s="3" t="inlineStr">
        <is>
          <t>조치원읍</t>
        </is>
      </c>
    </row>
    <row r="12490">
      <c r="A12490" s="3" t="n">
        <v>2022</v>
      </c>
      <c r="B12490" s="4" t="n">
        <v>26000</v>
      </c>
      <c r="C12490" s="4" t="n">
        <v>380</v>
      </c>
      <c r="D12490" s="4" t="n">
        <v>114.95</v>
      </c>
      <c r="E12490" s="5" t="n">
        <v>226.2</v>
      </c>
      <c r="F12490" s="3" t="inlineStr">
        <is>
          <t>연서면</t>
        </is>
      </c>
      <c r="G12490" s="3" t="inlineStr">
        <is>
          <t>용암리</t>
        </is>
      </c>
      <c r="H12490" s="3" t="inlineStr">
        <is>
          <t>단독다가구</t>
        </is>
      </c>
      <c r="I12490" s="3" t="inlineStr">
        <is>
          <t>단독</t>
        </is>
      </c>
      <c r="J12490" s="3" t="inlineStr">
        <is>
          <t>연서면</t>
        </is>
      </c>
    </row>
    <row r="12491">
      <c r="A12491" s="3" t="n">
        <v>2022</v>
      </c>
      <c r="B12491" s="4" t="n">
        <v>42000</v>
      </c>
      <c r="C12491" s="4" t="n">
        <v>579</v>
      </c>
      <c r="D12491" s="4" t="n">
        <v>175.1475</v>
      </c>
      <c r="E12491" s="5" t="n">
        <v>239.8</v>
      </c>
      <c r="F12491" s="3" t="inlineStr">
        <is>
          <t>장군면</t>
        </is>
      </c>
      <c r="G12491" s="3" t="inlineStr">
        <is>
          <t>평기리</t>
        </is>
      </c>
      <c r="H12491" s="3" t="inlineStr">
        <is>
          <t>단독다가구</t>
        </is>
      </c>
      <c r="I12491" s="3" t="inlineStr">
        <is>
          <t>단독</t>
        </is>
      </c>
      <c r="J12491" s="3" t="inlineStr">
        <is>
          <t>장군면</t>
        </is>
      </c>
    </row>
    <row r="12492">
      <c r="A12492" s="3" t="n">
        <v>2023</v>
      </c>
      <c r="B12492" s="4" t="n">
        <v>6370</v>
      </c>
      <c r="C12492" s="4" t="n">
        <v>274</v>
      </c>
      <c r="D12492" s="4" t="n">
        <v>82.88499999999999</v>
      </c>
      <c r="E12492" s="5" t="n">
        <v>76.90000000000001</v>
      </c>
      <c r="F12492" s="3" t="inlineStr">
        <is>
          <t>연서면</t>
        </is>
      </c>
      <c r="G12492" s="3" t="inlineStr">
        <is>
          <t>와촌리</t>
        </is>
      </c>
      <c r="H12492" s="3" t="inlineStr">
        <is>
          <t>단독다가구</t>
        </is>
      </c>
      <c r="I12492" s="3" t="inlineStr">
        <is>
          <t>단독</t>
        </is>
      </c>
      <c r="J12492" s="3" t="inlineStr">
        <is>
          <t>연서면</t>
        </is>
      </c>
    </row>
    <row r="12493">
      <c r="A12493" s="3" t="n">
        <v>2023</v>
      </c>
      <c r="B12493" s="4" t="n">
        <v>53000</v>
      </c>
      <c r="C12493" s="4" t="n">
        <v>516</v>
      </c>
      <c r="D12493" s="4" t="n">
        <v>156.09</v>
      </c>
      <c r="E12493" s="5" t="n">
        <v>339.5</v>
      </c>
      <c r="F12493" s="3" t="inlineStr">
        <is>
          <t>조치원읍</t>
        </is>
      </c>
      <c r="G12493" s="3" t="inlineStr">
        <is>
          <t>평리</t>
        </is>
      </c>
      <c r="H12493" s="3" t="inlineStr">
        <is>
          <t>단독다가구</t>
        </is>
      </c>
      <c r="I12493" s="3" t="inlineStr">
        <is>
          <t>단독</t>
        </is>
      </c>
      <c r="J12493" s="3" t="inlineStr">
        <is>
          <t>조치원읍</t>
        </is>
      </c>
    </row>
    <row r="12494">
      <c r="A12494" s="3" t="n">
        <v>2023</v>
      </c>
      <c r="B12494" s="4" t="n">
        <v>79080</v>
      </c>
      <c r="C12494" s="4" t="n">
        <v>508</v>
      </c>
      <c r="D12494" s="4" t="n">
        <v>153.67</v>
      </c>
      <c r="E12494" s="5" t="n">
        <v>514.6</v>
      </c>
      <c r="F12494" s="3" t="inlineStr">
        <is>
          <t>장군면</t>
        </is>
      </c>
      <c r="G12494" s="3" t="inlineStr">
        <is>
          <t>도계리</t>
        </is>
      </c>
      <c r="H12494" s="3" t="inlineStr">
        <is>
          <t>단독다가구</t>
        </is>
      </c>
      <c r="I12494" s="3" t="inlineStr">
        <is>
          <t>다가구</t>
        </is>
      </c>
      <c r="J12494" s="3" t="inlineStr">
        <is>
          <t>장군면</t>
        </is>
      </c>
    </row>
    <row r="12495">
      <c r="A12495" s="3" t="n">
        <v>2023</v>
      </c>
      <c r="B12495" s="4" t="n">
        <v>12000</v>
      </c>
      <c r="C12495" s="4" t="n">
        <v>329</v>
      </c>
      <c r="D12495" s="4" t="n">
        <v>99.52249999999999</v>
      </c>
      <c r="E12495" s="5" t="n">
        <v>120.6</v>
      </c>
      <c r="F12495" s="3" t="inlineStr">
        <is>
          <t>연동면</t>
        </is>
      </c>
      <c r="G12495" s="3" t="inlineStr">
        <is>
          <t>예양리</t>
        </is>
      </c>
      <c r="H12495" s="3" t="inlineStr">
        <is>
          <t>단독다가구</t>
        </is>
      </c>
      <c r="I12495" s="3" t="inlineStr">
        <is>
          <t>단독</t>
        </is>
      </c>
      <c r="J12495" s="3" t="inlineStr">
        <is>
          <t>연동면</t>
        </is>
      </c>
    </row>
    <row r="12496">
      <c r="A12496" s="3" t="n">
        <v>2023</v>
      </c>
      <c r="B12496" s="4" t="n">
        <v>26000</v>
      </c>
      <c r="C12496" s="4" t="n">
        <v>150</v>
      </c>
      <c r="D12496" s="4" t="n">
        <v>45.375</v>
      </c>
      <c r="E12496" s="5" t="n">
        <v>573</v>
      </c>
      <c r="F12496" s="3" t="inlineStr">
        <is>
          <t>조치원읍</t>
        </is>
      </c>
      <c r="G12496" s="3" t="inlineStr">
        <is>
          <t>신안리</t>
        </is>
      </c>
      <c r="H12496" s="3" t="inlineStr">
        <is>
          <t>단독다가구</t>
        </is>
      </c>
      <c r="I12496" s="3" t="inlineStr">
        <is>
          <t>다가구</t>
        </is>
      </c>
      <c r="J12496" s="3" t="inlineStr">
        <is>
          <t>조치원읍</t>
        </is>
      </c>
    </row>
    <row r="12497">
      <c r="A12497" s="3" t="n">
        <v>2023</v>
      </c>
      <c r="B12497" s="4" t="n">
        <v>68000</v>
      </c>
      <c r="C12497" s="4" t="n">
        <v>288</v>
      </c>
      <c r="D12497" s="4" t="n">
        <v>87.12</v>
      </c>
      <c r="E12497" s="5" t="n">
        <v>780.5</v>
      </c>
      <c r="F12497" s="3" t="inlineStr">
        <is>
          <t>장군면</t>
        </is>
      </c>
      <c r="G12497" s="3" t="inlineStr">
        <is>
          <t>도계리</t>
        </is>
      </c>
      <c r="H12497" s="3" t="inlineStr">
        <is>
          <t>단독다가구</t>
        </is>
      </c>
      <c r="I12497" s="3" t="inlineStr">
        <is>
          <t>다가구</t>
        </is>
      </c>
      <c r="J12497" s="3" t="inlineStr">
        <is>
          <t>장군면</t>
        </is>
      </c>
    </row>
    <row r="12498">
      <c r="A12498" s="3" t="n">
        <v>2023</v>
      </c>
      <c r="B12498" s="4" t="n">
        <v>78900</v>
      </c>
      <c r="C12498" s="4" t="n">
        <v>295</v>
      </c>
      <c r="D12498" s="4" t="n">
        <v>89.2375</v>
      </c>
      <c r="E12498" s="5" t="n">
        <v>884.2</v>
      </c>
      <c r="F12498" s="3" t="inlineStr">
        <is>
          <t>고운동</t>
        </is>
      </c>
      <c r="G12498" s="3" t="inlineStr"/>
      <c r="H12498" s="3" t="inlineStr">
        <is>
          <t>단독다가구</t>
        </is>
      </c>
      <c r="I12498" s="3" t="inlineStr">
        <is>
          <t>단독</t>
        </is>
      </c>
      <c r="J12498" s="3" t="inlineStr">
        <is>
          <t>고운동</t>
        </is>
      </c>
    </row>
    <row r="12499">
      <c r="A12499" s="3" t="n">
        <v>2023</v>
      </c>
      <c r="B12499" s="4" t="n">
        <v>3500</v>
      </c>
      <c r="C12499" s="4" t="n">
        <v>89</v>
      </c>
      <c r="D12499" s="4" t="n">
        <v>26.9225</v>
      </c>
      <c r="E12499" s="5" t="n">
        <v>130</v>
      </c>
      <c r="F12499" s="3" t="inlineStr">
        <is>
          <t>조치원읍</t>
        </is>
      </c>
      <c r="G12499" s="3" t="inlineStr">
        <is>
          <t>서창리</t>
        </is>
      </c>
      <c r="H12499" s="3" t="inlineStr">
        <is>
          <t>단독다가구</t>
        </is>
      </c>
      <c r="I12499" s="3" t="inlineStr">
        <is>
          <t>단독</t>
        </is>
      </c>
      <c r="J12499" s="3" t="inlineStr">
        <is>
          <t>조치원읍</t>
        </is>
      </c>
    </row>
    <row r="12500">
      <c r="A12500" s="3" t="n">
        <v>2024</v>
      </c>
      <c r="B12500" s="4" t="n">
        <v>12000</v>
      </c>
      <c r="C12500" s="4" t="n">
        <v>155</v>
      </c>
      <c r="D12500" s="4" t="n">
        <v>46.8875</v>
      </c>
      <c r="E12500" s="5" t="n">
        <v>255.9</v>
      </c>
      <c r="F12500" s="3" t="inlineStr">
        <is>
          <t>연서면</t>
        </is>
      </c>
      <c r="G12500" s="3" t="inlineStr">
        <is>
          <t>용암리</t>
        </is>
      </c>
      <c r="H12500" s="3" t="inlineStr">
        <is>
          <t>단독다가구</t>
        </is>
      </c>
      <c r="I12500" s="3" t="inlineStr">
        <is>
          <t>단독</t>
        </is>
      </c>
      <c r="J12500" s="3" t="inlineStr">
        <is>
          <t>연서면</t>
        </is>
      </c>
    </row>
    <row r="12501">
      <c r="A12501" s="3" t="n">
        <v>2024</v>
      </c>
      <c r="B12501" s="4" t="n">
        <v>17500</v>
      </c>
      <c r="C12501" s="4" t="n">
        <v>323</v>
      </c>
      <c r="D12501" s="4" t="n">
        <v>97.7075</v>
      </c>
      <c r="E12501" s="5" t="n">
        <v>179.1</v>
      </c>
      <c r="F12501" s="3" t="inlineStr">
        <is>
          <t>부강면</t>
        </is>
      </c>
      <c r="G12501" s="3" t="inlineStr">
        <is>
          <t>문곡리</t>
        </is>
      </c>
      <c r="H12501" s="3" t="inlineStr">
        <is>
          <t>단독다가구</t>
        </is>
      </c>
      <c r="I12501" s="3" t="inlineStr">
        <is>
          <t>단독</t>
        </is>
      </c>
      <c r="J12501" s="3" t="inlineStr">
        <is>
          <t>부강면</t>
        </is>
      </c>
    </row>
    <row r="12502">
      <c r="A12502" s="3" t="n">
        <v>2024</v>
      </c>
      <c r="B12502" s="4" t="n">
        <v>19000</v>
      </c>
      <c r="C12502" s="4" t="n">
        <v>167</v>
      </c>
      <c r="D12502" s="4" t="n">
        <v>50.5175</v>
      </c>
      <c r="E12502" s="5" t="n">
        <v>376.1</v>
      </c>
      <c r="F12502" s="3" t="inlineStr">
        <is>
          <t>연서면</t>
        </is>
      </c>
      <c r="G12502" s="3" t="inlineStr">
        <is>
          <t>봉암리</t>
        </is>
      </c>
      <c r="H12502" s="3" t="inlineStr">
        <is>
          <t>단독다가구</t>
        </is>
      </c>
      <c r="I12502" s="3" t="inlineStr">
        <is>
          <t>단독</t>
        </is>
      </c>
      <c r="J12502" s="3" t="inlineStr">
        <is>
          <t>연서면</t>
        </is>
      </c>
    </row>
    <row r="12503">
      <c r="A12503" s="3" t="n">
        <v>2024</v>
      </c>
      <c r="B12503" s="4" t="n">
        <v>58350</v>
      </c>
      <c r="C12503" s="4" t="n">
        <v>541</v>
      </c>
      <c r="D12503" s="4" t="n">
        <v>163.6525</v>
      </c>
      <c r="E12503" s="5" t="n">
        <v>356.5</v>
      </c>
      <c r="F12503" s="3" t="inlineStr">
        <is>
          <t>장군면</t>
        </is>
      </c>
      <c r="G12503" s="3" t="inlineStr">
        <is>
          <t>도계리</t>
        </is>
      </c>
      <c r="H12503" s="3" t="inlineStr">
        <is>
          <t>단독다가구</t>
        </is>
      </c>
      <c r="I12503" s="3" t="inlineStr">
        <is>
          <t>단독</t>
        </is>
      </c>
      <c r="J12503" s="3" t="inlineStr">
        <is>
          <t>장군면</t>
        </is>
      </c>
    </row>
    <row r="12504">
      <c r="A12504" s="3" t="n">
        <v>2024</v>
      </c>
      <c r="B12504" s="4" t="n">
        <v>82450</v>
      </c>
      <c r="C12504" s="4" t="n">
        <v>309.2</v>
      </c>
      <c r="D12504" s="4" t="n">
        <v>93.53299999999999</v>
      </c>
      <c r="E12504" s="5" t="n">
        <v>881.5</v>
      </c>
      <c r="F12504" s="3" t="inlineStr">
        <is>
          <t>고운동</t>
        </is>
      </c>
      <c r="G12504" s="3" t="inlineStr"/>
      <c r="H12504" s="3" t="inlineStr">
        <is>
          <t>단독다가구</t>
        </is>
      </c>
      <c r="I12504" s="3" t="inlineStr">
        <is>
          <t>단독</t>
        </is>
      </c>
      <c r="J12504" s="3" t="inlineStr">
        <is>
          <t>고운동</t>
        </is>
      </c>
    </row>
    <row r="12505">
      <c r="A12505" s="3" t="n">
        <v>2024</v>
      </c>
      <c r="B12505" s="4" t="n">
        <v>25000</v>
      </c>
      <c r="C12505" s="4" t="n">
        <v>216</v>
      </c>
      <c r="D12505" s="4" t="n">
        <v>65.34</v>
      </c>
      <c r="E12505" s="5" t="n">
        <v>382.6</v>
      </c>
      <c r="F12505" s="3" t="inlineStr">
        <is>
          <t>전의면</t>
        </is>
      </c>
      <c r="G12505" s="3" t="inlineStr">
        <is>
          <t>읍내리</t>
        </is>
      </c>
      <c r="H12505" s="3" t="inlineStr">
        <is>
          <t>단독다가구</t>
        </is>
      </c>
      <c r="I12505" s="3" t="inlineStr">
        <is>
          <t>단독</t>
        </is>
      </c>
      <c r="J12505" s="3" t="inlineStr">
        <is>
          <t>전의면</t>
        </is>
      </c>
    </row>
    <row r="12506">
      <c r="A12506" s="3" t="n">
        <v>2024</v>
      </c>
      <c r="B12506" s="4" t="n">
        <v>37000</v>
      </c>
      <c r="C12506" s="4" t="n">
        <v>305</v>
      </c>
      <c r="D12506" s="4" t="n">
        <v>92.2625</v>
      </c>
      <c r="E12506" s="5" t="n">
        <v>401</v>
      </c>
      <c r="F12506" s="3" t="inlineStr">
        <is>
          <t>조치원읍</t>
        </is>
      </c>
      <c r="G12506" s="3" t="inlineStr">
        <is>
          <t>신안리</t>
        </is>
      </c>
      <c r="H12506" s="3" t="inlineStr">
        <is>
          <t>단독다가구</t>
        </is>
      </c>
      <c r="I12506" s="3" t="inlineStr">
        <is>
          <t>다가구</t>
        </is>
      </c>
      <c r="J12506" s="3" t="inlineStr">
        <is>
          <t>조치원읍</t>
        </is>
      </c>
    </row>
    <row r="12507">
      <c r="A12507" s="3" t="n">
        <v>2024</v>
      </c>
      <c r="B12507" s="4" t="n">
        <v>40000</v>
      </c>
      <c r="C12507" s="4" t="n">
        <v>221</v>
      </c>
      <c r="D12507" s="4" t="n">
        <v>66.85249999999999</v>
      </c>
      <c r="E12507" s="5" t="n">
        <v>598.3</v>
      </c>
      <c r="F12507" s="3" t="inlineStr">
        <is>
          <t>금남면</t>
        </is>
      </c>
      <c r="G12507" s="3" t="inlineStr">
        <is>
          <t>영곡리</t>
        </is>
      </c>
      <c r="H12507" s="3" t="inlineStr">
        <is>
          <t>단독다가구</t>
        </is>
      </c>
      <c r="I12507" s="3" t="inlineStr">
        <is>
          <t>단독</t>
        </is>
      </c>
      <c r="J12507" s="3" t="inlineStr">
        <is>
          <t>금남면</t>
        </is>
      </c>
    </row>
    <row r="12508">
      <c r="A12508" s="3" t="n">
        <v>2024</v>
      </c>
      <c r="B12508" s="4" t="n">
        <v>42000</v>
      </c>
      <c r="C12508" s="4" t="n">
        <v>258</v>
      </c>
      <c r="D12508" s="4" t="n">
        <v>78.045</v>
      </c>
      <c r="E12508" s="5" t="n">
        <v>538.2</v>
      </c>
      <c r="F12508" s="3" t="inlineStr">
        <is>
          <t>금남면</t>
        </is>
      </c>
      <c r="G12508" s="3" t="inlineStr">
        <is>
          <t>국곡리</t>
        </is>
      </c>
      <c r="H12508" s="3" t="inlineStr">
        <is>
          <t>단독다가구</t>
        </is>
      </c>
      <c r="I12508" s="3" t="inlineStr">
        <is>
          <t>다가구</t>
        </is>
      </c>
      <c r="J12508" s="3" t="inlineStr">
        <is>
          <t>금남면</t>
        </is>
      </c>
    </row>
    <row r="12509">
      <c r="A12509" s="3" t="n">
        <v>2024</v>
      </c>
      <c r="B12509" s="4" t="n">
        <v>56000</v>
      </c>
      <c r="C12509" s="4" t="n">
        <v>329</v>
      </c>
      <c r="D12509" s="4" t="n">
        <v>99.52249999999999</v>
      </c>
      <c r="E12509" s="5" t="n">
        <v>562.7</v>
      </c>
      <c r="F12509" s="3" t="inlineStr">
        <is>
          <t>장군면</t>
        </is>
      </c>
      <c r="G12509" s="3" t="inlineStr">
        <is>
          <t>금암리</t>
        </is>
      </c>
      <c r="H12509" s="3" t="inlineStr">
        <is>
          <t>단독다가구</t>
        </is>
      </c>
      <c r="I12509" s="3" t="inlineStr">
        <is>
          <t>단독</t>
        </is>
      </c>
      <c r="J12509" s="3" t="inlineStr">
        <is>
          <t>장군면</t>
        </is>
      </c>
    </row>
    <row r="12510">
      <c r="A12510" s="3" t="n">
        <v>2024</v>
      </c>
      <c r="B12510" s="4" t="n">
        <v>80000</v>
      </c>
      <c r="C12510" s="4" t="n">
        <v>294</v>
      </c>
      <c r="D12510" s="4" t="n">
        <v>88.935</v>
      </c>
      <c r="E12510" s="5" t="n">
        <v>899.5</v>
      </c>
      <c r="F12510" s="3" t="inlineStr">
        <is>
          <t>조치원읍</t>
        </is>
      </c>
      <c r="G12510" s="3" t="inlineStr">
        <is>
          <t>신안리</t>
        </is>
      </c>
      <c r="H12510" s="3" t="inlineStr">
        <is>
          <t>단독다가구</t>
        </is>
      </c>
      <c r="I12510" s="3" t="inlineStr">
        <is>
          <t>단독</t>
        </is>
      </c>
      <c r="J12510" s="3" t="inlineStr">
        <is>
          <t>조치원읍</t>
        </is>
      </c>
    </row>
    <row r="12511">
      <c r="A12511" s="3" t="n">
        <v>2024</v>
      </c>
      <c r="B12511" s="4" t="n">
        <v>60000</v>
      </c>
      <c r="C12511" s="4" t="n">
        <v>299.8</v>
      </c>
      <c r="D12511" s="4" t="n">
        <v>90.6895</v>
      </c>
      <c r="E12511" s="5" t="n">
        <v>661.6</v>
      </c>
      <c r="F12511" s="3" t="inlineStr">
        <is>
          <t>한솔동</t>
        </is>
      </c>
      <c r="G12511" s="3" t="inlineStr"/>
      <c r="H12511" s="3" t="inlineStr">
        <is>
          <t>단독다가구</t>
        </is>
      </c>
      <c r="I12511" s="3" t="inlineStr">
        <is>
          <t>단독</t>
        </is>
      </c>
      <c r="J12511" s="3" t="inlineStr">
        <is>
          <t>한솔동</t>
        </is>
      </c>
    </row>
    <row r="12512">
      <c r="A12512" s="3" t="n">
        <v>2024</v>
      </c>
      <c r="B12512" s="4" t="n">
        <v>33500</v>
      </c>
      <c r="C12512" s="4" t="n">
        <v>347</v>
      </c>
      <c r="D12512" s="4" t="n">
        <v>104.9675</v>
      </c>
      <c r="E12512" s="5" t="n">
        <v>319.1</v>
      </c>
      <c r="F12512" s="3" t="inlineStr">
        <is>
          <t>금남면</t>
        </is>
      </c>
      <c r="G12512" s="3" t="inlineStr">
        <is>
          <t>감성리</t>
        </is>
      </c>
      <c r="H12512" s="3" t="inlineStr">
        <is>
          <t>단독다가구</t>
        </is>
      </c>
      <c r="I12512" s="3" t="inlineStr">
        <is>
          <t>단독</t>
        </is>
      </c>
      <c r="J12512" s="3" t="inlineStr">
        <is>
          <t>금남면</t>
        </is>
      </c>
    </row>
    <row r="12513">
      <c r="A12513" s="3" t="n">
        <v>2025</v>
      </c>
      <c r="B12513" s="4" t="n">
        <v>18000</v>
      </c>
      <c r="C12513" s="4" t="n">
        <v>549</v>
      </c>
      <c r="D12513" s="4" t="n">
        <v>166.0725</v>
      </c>
      <c r="E12513" s="5" t="n">
        <v>108.4</v>
      </c>
      <c r="F12513" s="3" t="inlineStr">
        <is>
          <t>부강면</t>
        </is>
      </c>
      <c r="G12513" s="3" t="inlineStr">
        <is>
          <t>부강리</t>
        </is>
      </c>
      <c r="H12513" s="3" t="inlineStr">
        <is>
          <t>단독다가구</t>
        </is>
      </c>
      <c r="I12513" s="3" t="inlineStr">
        <is>
          <t>단독</t>
        </is>
      </c>
      <c r="J12513" s="3" t="inlineStr">
        <is>
          <t>부강면</t>
        </is>
      </c>
    </row>
    <row r="12514">
      <c r="A12514" s="3" t="n">
        <v>2025</v>
      </c>
      <c r="B12514" s="4" t="n">
        <v>40000</v>
      </c>
      <c r="C12514" s="4" t="n">
        <v>310</v>
      </c>
      <c r="D12514" s="4" t="n">
        <v>93.77499999999999</v>
      </c>
      <c r="E12514" s="5" t="n">
        <v>426.6</v>
      </c>
      <c r="F12514" s="3" t="inlineStr">
        <is>
          <t>조치원읍</t>
        </is>
      </c>
      <c r="G12514" s="3" t="inlineStr">
        <is>
          <t>서창리</t>
        </is>
      </c>
      <c r="H12514" s="3" t="inlineStr">
        <is>
          <t>단독다가구</t>
        </is>
      </c>
      <c r="I12514" s="3" t="inlineStr">
        <is>
          <t>다가구</t>
        </is>
      </c>
      <c r="J12514" s="3" t="inlineStr">
        <is>
          <t>조치원읍</t>
        </is>
      </c>
    </row>
    <row r="12515">
      <c r="A12515" s="3" t="n">
        <v>2025</v>
      </c>
      <c r="B12515" s="4" t="n">
        <v>159750</v>
      </c>
      <c r="C12515" s="4" t="n">
        <v>430.5497</v>
      </c>
      <c r="D12515" s="4" t="n">
        <v>130.24128425</v>
      </c>
      <c r="E12515" s="5" t="n">
        <v>1226.6</v>
      </c>
      <c r="F12515" s="3" t="inlineStr">
        <is>
          <t>고운동</t>
        </is>
      </c>
      <c r="G12515" s="3" t="inlineStr"/>
      <c r="H12515" s="3" t="inlineStr">
        <is>
          <t>단독다가구</t>
        </is>
      </c>
      <c r="I12515" s="3" t="inlineStr">
        <is>
          <t>단독</t>
        </is>
      </c>
      <c r="J12515" s="3" t="inlineStr">
        <is>
          <t>고운동</t>
        </is>
      </c>
    </row>
    <row r="12516">
      <c r="A12516" s="3" t="n">
        <v>2025</v>
      </c>
      <c r="B12516" s="4" t="n">
        <v>24000</v>
      </c>
      <c r="C12516" s="4" t="n">
        <v>124</v>
      </c>
      <c r="D12516" s="4" t="n">
        <v>37.51</v>
      </c>
      <c r="E12516" s="5" t="n">
        <v>639.8</v>
      </c>
      <c r="F12516" s="3" t="inlineStr">
        <is>
          <t>조치원읍</t>
        </is>
      </c>
      <c r="G12516" s="3" t="inlineStr">
        <is>
          <t>신흥리</t>
        </is>
      </c>
      <c r="H12516" s="3" t="inlineStr">
        <is>
          <t>단독다가구</t>
        </is>
      </c>
      <c r="I12516" s="3" t="inlineStr">
        <is>
          <t>단독</t>
        </is>
      </c>
      <c r="J12516" s="3" t="inlineStr">
        <is>
          <t>조치원읍</t>
        </is>
      </c>
    </row>
    <row r="12517">
      <c r="A12517" s="3" t="n">
        <v>2025</v>
      </c>
      <c r="B12517" s="4" t="n">
        <v>40000</v>
      </c>
      <c r="C12517" s="4" t="n">
        <v>469</v>
      </c>
      <c r="D12517" s="4" t="n">
        <v>141.8725</v>
      </c>
      <c r="E12517" s="5" t="n">
        <v>281.9</v>
      </c>
      <c r="F12517" s="3" t="inlineStr">
        <is>
          <t>조치원읍</t>
        </is>
      </c>
      <c r="G12517" s="3" t="inlineStr">
        <is>
          <t>서창리</t>
        </is>
      </c>
      <c r="H12517" s="3" t="inlineStr">
        <is>
          <t>단독다가구</t>
        </is>
      </c>
      <c r="I12517" s="3" t="inlineStr">
        <is>
          <t>단독</t>
        </is>
      </c>
      <c r="J12517" s="3" t="inlineStr">
        <is>
          <t>조치원읍</t>
        </is>
      </c>
    </row>
    <row r="12518">
      <c r="A12518" s="3" t="n">
        <v>2025</v>
      </c>
      <c r="B12518" s="4" t="n">
        <v>10000</v>
      </c>
      <c r="C12518" s="4" t="n">
        <v>298</v>
      </c>
      <c r="D12518" s="4" t="n">
        <v>90.145</v>
      </c>
      <c r="E12518" s="5" t="n">
        <v>110.9</v>
      </c>
      <c r="F12518" s="3" t="inlineStr">
        <is>
          <t>연서면</t>
        </is>
      </c>
      <c r="G12518" s="3" t="inlineStr">
        <is>
          <t>월하리</t>
        </is>
      </c>
      <c r="H12518" s="3" t="inlineStr">
        <is>
          <t>단독다가구</t>
        </is>
      </c>
      <c r="I12518" s="3" t="inlineStr">
        <is>
          <t>단독</t>
        </is>
      </c>
      <c r="J12518" s="3" t="inlineStr">
        <is>
          <t>연서면</t>
        </is>
      </c>
    </row>
    <row r="12519">
      <c r="A12519" s="3" t="n">
        <v>2025</v>
      </c>
      <c r="B12519" s="4" t="n">
        <v>71000</v>
      </c>
      <c r="C12519" s="4" t="n">
        <v>443</v>
      </c>
      <c r="D12519" s="4" t="n">
        <v>134.0075</v>
      </c>
      <c r="E12519" s="5" t="n">
        <v>529.8</v>
      </c>
      <c r="F12519" s="3" t="inlineStr">
        <is>
          <t>장군면</t>
        </is>
      </c>
      <c r="G12519" s="3" t="inlineStr">
        <is>
          <t>금암리</t>
        </is>
      </c>
      <c r="H12519" s="3" t="inlineStr">
        <is>
          <t>단독다가구</t>
        </is>
      </c>
      <c r="I12519" s="3" t="inlineStr">
        <is>
          <t>단독</t>
        </is>
      </c>
      <c r="J12519" s="3" t="inlineStr">
        <is>
          <t>장군면</t>
        </is>
      </c>
    </row>
    <row r="12520">
      <c r="A12520" s="3" t="n">
        <v>2025</v>
      </c>
      <c r="B12520" s="4" t="n">
        <v>30000</v>
      </c>
      <c r="C12520" s="4" t="n">
        <v>187.8</v>
      </c>
      <c r="D12520" s="4" t="n">
        <v>56.8095</v>
      </c>
      <c r="E12520" s="5" t="n">
        <v>528.1</v>
      </c>
      <c r="F12520" s="3" t="inlineStr">
        <is>
          <t>조치원읍</t>
        </is>
      </c>
      <c r="G12520" s="3" t="inlineStr">
        <is>
          <t>교리</t>
        </is>
      </c>
      <c r="H12520" s="3" t="inlineStr">
        <is>
          <t>단독다가구</t>
        </is>
      </c>
      <c r="I12520" s="3" t="inlineStr">
        <is>
          <t>단독</t>
        </is>
      </c>
      <c r="J12520" s="3" t="inlineStr">
        <is>
          <t>조치원읍</t>
        </is>
      </c>
    </row>
    <row r="12521">
      <c r="A12521" s="3" t="n">
        <v>2025</v>
      </c>
      <c r="B12521" s="4" t="n">
        <v>55000</v>
      </c>
      <c r="C12521" s="4" t="n">
        <v>1150</v>
      </c>
      <c r="D12521" s="4" t="n">
        <v>347.875</v>
      </c>
      <c r="E12521" s="5" t="n">
        <v>158.1</v>
      </c>
      <c r="F12521" s="3" t="inlineStr">
        <is>
          <t>연서면</t>
        </is>
      </c>
      <c r="G12521" s="3" t="inlineStr">
        <is>
          <t>성제리</t>
        </is>
      </c>
      <c r="H12521" s="3" t="inlineStr">
        <is>
          <t>단독다가구</t>
        </is>
      </c>
      <c r="I12521" s="3" t="inlineStr">
        <is>
          <t>단독</t>
        </is>
      </c>
      <c r="J12521" s="3" t="inlineStr">
        <is>
          <t>연서면</t>
        </is>
      </c>
    </row>
    <row r="12522">
      <c r="A12522" s="3" t="n">
        <v>2025</v>
      </c>
      <c r="B12522" s="4" t="n">
        <v>15000</v>
      </c>
      <c r="C12522" s="4" t="n">
        <v>1094</v>
      </c>
      <c r="D12522" s="4" t="n">
        <v>330.935</v>
      </c>
      <c r="E12522" s="5" t="n">
        <v>45.3</v>
      </c>
      <c r="F12522" s="3" t="inlineStr">
        <is>
          <t>전동면</t>
        </is>
      </c>
      <c r="G12522" s="3" t="inlineStr">
        <is>
          <t>송곡리</t>
        </is>
      </c>
      <c r="H12522" s="3" t="inlineStr">
        <is>
          <t>단독다가구</t>
        </is>
      </c>
      <c r="I12522" s="3" t="inlineStr">
        <is>
          <t>단독</t>
        </is>
      </c>
      <c r="J12522" s="3" t="inlineStr">
        <is>
          <t>전동면</t>
        </is>
      </c>
    </row>
    <row r="12523">
      <c r="A12523" s="3" t="n">
        <v>2025</v>
      </c>
      <c r="B12523" s="4" t="n">
        <v>38000</v>
      </c>
      <c r="C12523" s="4" t="n">
        <v>820</v>
      </c>
      <c r="D12523" s="4" t="n">
        <v>248.05</v>
      </c>
      <c r="E12523" s="5" t="n">
        <v>153.2</v>
      </c>
      <c r="F12523" s="3" t="inlineStr">
        <is>
          <t>조치원읍</t>
        </is>
      </c>
      <c r="G12523" s="3" t="inlineStr">
        <is>
          <t>서창리</t>
        </is>
      </c>
      <c r="H12523" s="3" t="inlineStr">
        <is>
          <t>단독다가구</t>
        </is>
      </c>
      <c r="I12523" s="3" t="inlineStr">
        <is>
          <t>단독</t>
        </is>
      </c>
      <c r="J12523" s="3" t="inlineStr">
        <is>
          <t>조치원읍</t>
        </is>
      </c>
    </row>
    <row r="12524">
      <c r="A12524" s="3" t="n">
        <v>2025</v>
      </c>
      <c r="B12524" s="4" t="n">
        <v>78000</v>
      </c>
      <c r="C12524" s="4" t="n">
        <v>251.8</v>
      </c>
      <c r="D12524" s="4" t="n">
        <v>76.1695</v>
      </c>
      <c r="E12524" s="5" t="n">
        <v>1024</v>
      </c>
      <c r="F12524" s="3" t="inlineStr">
        <is>
          <t>조치원읍</t>
        </is>
      </c>
      <c r="G12524" s="3" t="inlineStr">
        <is>
          <t>침산리</t>
        </is>
      </c>
      <c r="H12524" s="3" t="inlineStr">
        <is>
          <t>단독다가구</t>
        </is>
      </c>
      <c r="I12524" s="3" t="inlineStr">
        <is>
          <t>다가구</t>
        </is>
      </c>
      <c r="J12524" s="3" t="inlineStr">
        <is>
          <t>조치원읍</t>
        </is>
      </c>
    </row>
    <row r="12525">
      <c r="A12525" s="3" t="n">
        <v>2025</v>
      </c>
      <c r="B12525" s="4" t="n">
        <v>17000</v>
      </c>
      <c r="C12525" s="4" t="n">
        <v>381</v>
      </c>
      <c r="D12525" s="4" t="n">
        <v>115.2525</v>
      </c>
      <c r="E12525" s="5" t="n">
        <v>147.5</v>
      </c>
      <c r="F12525" s="3" t="inlineStr">
        <is>
          <t>금남면</t>
        </is>
      </c>
      <c r="G12525" s="3" t="inlineStr">
        <is>
          <t>성강리</t>
        </is>
      </c>
      <c r="H12525" s="3" t="inlineStr">
        <is>
          <t>단독다가구</t>
        </is>
      </c>
      <c r="I12525" s="3" t="inlineStr">
        <is>
          <t>단독</t>
        </is>
      </c>
      <c r="J12525" s="3" t="inlineStr">
        <is>
          <t>금남면</t>
        </is>
      </c>
    </row>
    <row r="12526">
      <c r="A12526" s="3" t="n">
        <v>2025</v>
      </c>
      <c r="B12526" s="4" t="n">
        <v>12000</v>
      </c>
      <c r="C12526" s="4" t="n">
        <v>349</v>
      </c>
      <c r="D12526" s="4" t="n">
        <v>105.5725</v>
      </c>
      <c r="E12526" s="5" t="n">
        <v>113.7</v>
      </c>
      <c r="F12526" s="3" t="inlineStr">
        <is>
          <t>부강면</t>
        </is>
      </c>
      <c r="G12526" s="3" t="inlineStr">
        <is>
          <t>부강리</t>
        </is>
      </c>
      <c r="H12526" s="3" t="inlineStr">
        <is>
          <t>단독다가구</t>
        </is>
      </c>
      <c r="I12526" s="3" t="inlineStr">
        <is>
          <t>단독</t>
        </is>
      </c>
      <c r="J12526" s="3" t="inlineStr">
        <is>
          <t>부강면</t>
        </is>
      </c>
    </row>
    <row r="12527">
      <c r="A12527" s="3" t="n">
        <v>2025</v>
      </c>
      <c r="B12527" s="4" t="n">
        <v>14832</v>
      </c>
      <c r="C12527" s="4" t="n">
        <v>279</v>
      </c>
      <c r="D12527" s="4" t="n">
        <v>84.39749999999999</v>
      </c>
      <c r="E12527" s="5" t="n">
        <v>175.7</v>
      </c>
      <c r="F12527" s="3" t="inlineStr">
        <is>
          <t>장군면</t>
        </is>
      </c>
      <c r="G12527" s="3" t="inlineStr">
        <is>
          <t>봉안리</t>
        </is>
      </c>
      <c r="H12527" s="3" t="inlineStr">
        <is>
          <t>단독다가구</t>
        </is>
      </c>
      <c r="I12527" s="3" t="inlineStr">
        <is>
          <t>단독</t>
        </is>
      </c>
      <c r="J12527" s="3" t="inlineStr">
        <is>
          <t>장군면</t>
        </is>
      </c>
    </row>
    <row r="12528">
      <c r="A12528" s="3" t="n">
        <v>2025</v>
      </c>
      <c r="B12528" s="4" t="n">
        <v>11200</v>
      </c>
      <c r="C12528" s="4" t="n">
        <v>218</v>
      </c>
      <c r="D12528" s="4" t="n">
        <v>65.94499999999999</v>
      </c>
      <c r="E12528" s="5" t="n">
        <v>169.8</v>
      </c>
      <c r="F12528" s="3" t="inlineStr">
        <is>
          <t>금남면</t>
        </is>
      </c>
      <c r="G12528" s="3" t="inlineStr">
        <is>
          <t>두만리</t>
        </is>
      </c>
      <c r="H12528" s="3" t="inlineStr">
        <is>
          <t>단독다가구</t>
        </is>
      </c>
      <c r="I12528" s="3" t="inlineStr">
        <is>
          <t>단독</t>
        </is>
      </c>
      <c r="J12528" s="3" t="inlineStr">
        <is>
          <t>금남면</t>
        </is>
      </c>
    </row>
    <row r="12529">
      <c r="A12529" s="3" t="n">
        <v>2025</v>
      </c>
      <c r="B12529" s="4" t="n">
        <v>13000</v>
      </c>
      <c r="C12529" s="4" t="n">
        <v>298</v>
      </c>
      <c r="D12529" s="4" t="n">
        <v>90.145</v>
      </c>
      <c r="E12529" s="5" t="n">
        <v>144.2</v>
      </c>
      <c r="F12529" s="3" t="inlineStr">
        <is>
          <t>전동면</t>
        </is>
      </c>
      <c r="G12529" s="3" t="inlineStr">
        <is>
          <t>청송리</t>
        </is>
      </c>
      <c r="H12529" s="3" t="inlineStr">
        <is>
          <t>단독다가구</t>
        </is>
      </c>
      <c r="I12529" s="3" t="inlineStr">
        <is>
          <t>단독</t>
        </is>
      </c>
      <c r="J12529" s="3" t="inlineStr">
        <is>
          <t>전동면</t>
        </is>
      </c>
    </row>
    <row r="12530">
      <c r="A12530" s="3" t="n">
        <v>2025</v>
      </c>
      <c r="B12530" s="4" t="n">
        <v>130000</v>
      </c>
      <c r="C12530" s="4" t="n">
        <v>303.5</v>
      </c>
      <c r="D12530" s="4" t="n">
        <v>91.80875</v>
      </c>
      <c r="E12530" s="5" t="n">
        <v>1416</v>
      </c>
      <c r="F12530" s="3" t="inlineStr">
        <is>
          <t>아름동</t>
        </is>
      </c>
      <c r="G12530" s="3" t="inlineStr"/>
      <c r="H12530" s="3" t="inlineStr">
        <is>
          <t>단독다가구</t>
        </is>
      </c>
      <c r="I12530" s="3" t="inlineStr">
        <is>
          <t>단독</t>
        </is>
      </c>
      <c r="J12530" s="3" t="inlineStr">
        <is>
          <t>아름동</t>
        </is>
      </c>
    </row>
    <row r="12531">
      <c r="A12531" s="3" t="n">
        <v>2025</v>
      </c>
      <c r="B12531" s="4" t="n">
        <v>32280</v>
      </c>
      <c r="C12531" s="4" t="n">
        <v>496</v>
      </c>
      <c r="D12531" s="4" t="n">
        <v>150.04</v>
      </c>
      <c r="E12531" s="5" t="n">
        <v>215.1</v>
      </c>
      <c r="F12531" s="3" t="inlineStr">
        <is>
          <t>금남면</t>
        </is>
      </c>
      <c r="G12531" s="3" t="inlineStr">
        <is>
          <t>성강리</t>
        </is>
      </c>
      <c r="H12531" s="3" t="inlineStr">
        <is>
          <t>단독다가구</t>
        </is>
      </c>
      <c r="I12531" s="3" t="inlineStr">
        <is>
          <t>단독</t>
        </is>
      </c>
      <c r="J12531" s="3" t="inlineStr">
        <is>
          <t>금남면</t>
        </is>
      </c>
    </row>
    <row r="12532">
      <c r="A12532" s="3" t="n">
        <v>2025</v>
      </c>
      <c r="B12532" s="4" t="n">
        <v>4500</v>
      </c>
      <c r="C12532" s="4" t="n">
        <v>206</v>
      </c>
      <c r="D12532" s="4" t="n">
        <v>62.315</v>
      </c>
      <c r="E12532" s="5" t="n">
        <v>72.2</v>
      </c>
      <c r="F12532" s="3" t="inlineStr">
        <is>
          <t>소정면</t>
        </is>
      </c>
      <c r="G12532" s="3" t="inlineStr">
        <is>
          <t>대곡리</t>
        </is>
      </c>
      <c r="H12532" s="3" t="inlineStr">
        <is>
          <t>단독다가구</t>
        </is>
      </c>
      <c r="I12532" s="3" t="inlineStr">
        <is>
          <t>단독</t>
        </is>
      </c>
      <c r="J12532" s="3" t="inlineStr">
        <is>
          <t>소정면</t>
        </is>
      </c>
    </row>
    <row r="12533">
      <c r="A12533" s="3" t="n">
        <v>2025</v>
      </c>
      <c r="B12533" s="4" t="n">
        <v>53500</v>
      </c>
      <c r="C12533" s="4" t="n">
        <v>293</v>
      </c>
      <c r="D12533" s="4" t="n">
        <v>88.63249999999999</v>
      </c>
      <c r="E12533" s="5" t="n">
        <v>603.6</v>
      </c>
      <c r="F12533" s="3" t="inlineStr">
        <is>
          <t>조치원읍</t>
        </is>
      </c>
      <c r="G12533" s="3" t="inlineStr">
        <is>
          <t>신안리</t>
        </is>
      </c>
      <c r="H12533" s="3" t="inlineStr">
        <is>
          <t>단독다가구</t>
        </is>
      </c>
      <c r="I12533" s="3" t="inlineStr">
        <is>
          <t>다가구</t>
        </is>
      </c>
      <c r="J12533" s="3" t="inlineStr">
        <is>
          <t>조치원읍</t>
        </is>
      </c>
    </row>
    <row r="12534">
      <c r="A12534" s="3" t="n">
        <v>2025</v>
      </c>
      <c r="B12534" s="4" t="n">
        <v>103000</v>
      </c>
      <c r="C12534" s="4" t="n">
        <v>735</v>
      </c>
      <c r="D12534" s="4" t="n">
        <v>222.3375</v>
      </c>
      <c r="E12534" s="5" t="n">
        <v>463.3</v>
      </c>
      <c r="F12534" s="3" t="inlineStr">
        <is>
          <t>장군면</t>
        </is>
      </c>
      <c r="G12534" s="3" t="inlineStr">
        <is>
          <t>봉안리</t>
        </is>
      </c>
      <c r="H12534" s="3" t="inlineStr">
        <is>
          <t>단독다가구</t>
        </is>
      </c>
      <c r="I12534" s="3" t="inlineStr">
        <is>
          <t>다가구</t>
        </is>
      </c>
      <c r="J12534" s="3" t="inlineStr">
        <is>
          <t>장군면</t>
        </is>
      </c>
    </row>
    <row r="12535">
      <c r="A12535" s="3" t="n">
        <v>2025</v>
      </c>
      <c r="B12535" s="4" t="n">
        <v>12000</v>
      </c>
      <c r="C12535" s="4" t="n">
        <v>212</v>
      </c>
      <c r="D12535" s="4" t="n">
        <v>64.13</v>
      </c>
      <c r="E12535" s="5" t="n">
        <v>187.1</v>
      </c>
      <c r="F12535" s="3" t="inlineStr">
        <is>
          <t>장군면</t>
        </is>
      </c>
      <c r="G12535" s="3" t="inlineStr">
        <is>
          <t>하봉리</t>
        </is>
      </c>
      <c r="H12535" s="3" t="inlineStr">
        <is>
          <t>단독다가구</t>
        </is>
      </c>
      <c r="I12535" s="3" t="inlineStr">
        <is>
          <t>단독</t>
        </is>
      </c>
      <c r="J12535" s="3" t="inlineStr">
        <is>
          <t>장군면</t>
        </is>
      </c>
    </row>
    <row r="12536">
      <c r="A12536" s="3" t="n">
        <v>2025</v>
      </c>
      <c r="B12536" s="4" t="n">
        <v>28000</v>
      </c>
      <c r="C12536" s="4" t="n">
        <v>251</v>
      </c>
      <c r="D12536" s="4" t="n">
        <v>75.92749999999999</v>
      </c>
      <c r="E12536" s="5" t="n">
        <v>368.8</v>
      </c>
      <c r="F12536" s="3" t="inlineStr">
        <is>
          <t>조치원읍</t>
        </is>
      </c>
      <c r="G12536" s="3" t="inlineStr">
        <is>
          <t>신흥리</t>
        </is>
      </c>
      <c r="H12536" s="3" t="inlineStr">
        <is>
          <t>단독다가구</t>
        </is>
      </c>
      <c r="I12536" s="3" t="inlineStr">
        <is>
          <t>단독</t>
        </is>
      </c>
      <c r="J12536" s="3" t="inlineStr">
        <is>
          <t>조치원읍</t>
        </is>
      </c>
    </row>
    <row r="12537">
      <c r="A12537" s="3" t="n">
        <v>2025</v>
      </c>
      <c r="B12537" s="4" t="n">
        <v>105750</v>
      </c>
      <c r="C12537" s="4" t="n">
        <v>358</v>
      </c>
      <c r="D12537" s="4" t="n">
        <v>108.295</v>
      </c>
      <c r="E12537" s="5" t="n">
        <v>976.5</v>
      </c>
      <c r="F12537" s="3" t="inlineStr">
        <is>
          <t>조치원읍</t>
        </is>
      </c>
      <c r="G12537" s="3" t="inlineStr">
        <is>
          <t>신안리</t>
        </is>
      </c>
      <c r="H12537" s="3" t="inlineStr">
        <is>
          <t>단독다가구</t>
        </is>
      </c>
      <c r="I12537" s="3" t="inlineStr">
        <is>
          <t>다가구</t>
        </is>
      </c>
      <c r="J12537" s="3" t="inlineStr">
        <is>
          <t>조치원읍</t>
        </is>
      </c>
    </row>
    <row r="12538">
      <c r="A12538" s="3" t="n">
        <v>2025</v>
      </c>
      <c r="B12538" s="4" t="n">
        <v>70000</v>
      </c>
      <c r="C12538" s="4" t="n">
        <v>495</v>
      </c>
      <c r="D12538" s="4" t="n">
        <v>149.7375</v>
      </c>
      <c r="E12538" s="5" t="n">
        <v>467.5</v>
      </c>
      <c r="F12538" s="3" t="inlineStr">
        <is>
          <t>금남면</t>
        </is>
      </c>
      <c r="G12538" s="3" t="inlineStr">
        <is>
          <t>국곡리</t>
        </is>
      </c>
      <c r="H12538" s="3" t="inlineStr">
        <is>
          <t>단독다가구</t>
        </is>
      </c>
      <c r="I12538" s="3" t="inlineStr">
        <is>
          <t>다가구</t>
        </is>
      </c>
      <c r="J12538" s="3" t="inlineStr">
        <is>
          <t>금남면</t>
        </is>
      </c>
    </row>
    <row r="12539">
      <c r="A12539" s="3" t="n">
        <v>2025</v>
      </c>
      <c r="B12539" s="4" t="n">
        <v>35000</v>
      </c>
      <c r="C12539" s="4" t="n">
        <v>401</v>
      </c>
      <c r="D12539" s="4" t="n">
        <v>121.3025</v>
      </c>
      <c r="E12539" s="5" t="n">
        <v>288.5</v>
      </c>
      <c r="F12539" s="3" t="inlineStr">
        <is>
          <t>연서면</t>
        </is>
      </c>
      <c r="G12539" s="3" t="inlineStr">
        <is>
          <t>봉암리</t>
        </is>
      </c>
      <c r="H12539" s="3" t="inlineStr">
        <is>
          <t>단독다가구</t>
        </is>
      </c>
      <c r="I12539" s="3" t="inlineStr">
        <is>
          <t>단독</t>
        </is>
      </c>
      <c r="J12539" s="3" t="inlineStr">
        <is>
          <t>연서면</t>
        </is>
      </c>
    </row>
    <row r="12540">
      <c r="A12540" s="3" t="n">
        <v>2025</v>
      </c>
      <c r="B12540" s="4" t="n">
        <v>62500</v>
      </c>
      <c r="C12540" s="4" t="n">
        <v>414</v>
      </c>
      <c r="D12540" s="4" t="n">
        <v>125.235</v>
      </c>
      <c r="E12540" s="5" t="n">
        <v>499.1</v>
      </c>
      <c r="F12540" s="3" t="inlineStr">
        <is>
          <t>연서면</t>
        </is>
      </c>
      <c r="G12540" s="3" t="inlineStr">
        <is>
          <t>부동리</t>
        </is>
      </c>
      <c r="H12540" s="3" t="inlineStr">
        <is>
          <t>단독다가구</t>
        </is>
      </c>
      <c r="I12540" s="3" t="inlineStr">
        <is>
          <t>단독</t>
        </is>
      </c>
      <c r="J12540" s="3" t="inlineStr">
        <is>
          <t>연서면</t>
        </is>
      </c>
    </row>
    <row r="12541">
      <c r="A12541" s="3" t="n">
        <v>2025</v>
      </c>
      <c r="B12541" s="4" t="n">
        <v>59000</v>
      </c>
      <c r="C12541" s="4" t="n">
        <v>885</v>
      </c>
      <c r="D12541" s="4" t="n">
        <v>267.7125</v>
      </c>
      <c r="E12541" s="5" t="n">
        <v>220.4</v>
      </c>
      <c r="F12541" s="3" t="inlineStr">
        <is>
          <t>부강면</t>
        </is>
      </c>
      <c r="G12541" s="3" t="inlineStr">
        <is>
          <t>부강리</t>
        </is>
      </c>
      <c r="H12541" s="3" t="inlineStr">
        <is>
          <t>단독다가구</t>
        </is>
      </c>
      <c r="I12541" s="3" t="inlineStr">
        <is>
          <t>단독</t>
        </is>
      </c>
      <c r="J12541" s="3" t="inlineStr">
        <is>
          <t>부강면</t>
        </is>
      </c>
    </row>
    <row r="12542">
      <c r="A12542" s="3" t="n">
        <v>2025</v>
      </c>
      <c r="B12542" s="4" t="n">
        <v>18500</v>
      </c>
      <c r="C12542" s="4" t="n">
        <v>193</v>
      </c>
      <c r="D12542" s="4" t="n">
        <v>58.3825</v>
      </c>
      <c r="E12542" s="5" t="n">
        <v>316.9</v>
      </c>
      <c r="F12542" s="3" t="inlineStr">
        <is>
          <t>조치원읍</t>
        </is>
      </c>
      <c r="G12542" s="3" t="inlineStr">
        <is>
          <t>남리</t>
        </is>
      </c>
      <c r="H12542" s="3" t="inlineStr">
        <is>
          <t>단독다가구</t>
        </is>
      </c>
      <c r="I12542" s="3" t="inlineStr">
        <is>
          <t>단독</t>
        </is>
      </c>
      <c r="J12542" s="3" t="inlineStr">
        <is>
          <t>조치원읍</t>
        </is>
      </c>
    </row>
    <row r="12543">
      <c r="A12543" s="3" t="n">
        <v>2025</v>
      </c>
      <c r="B12543" s="4" t="n">
        <v>149700</v>
      </c>
      <c r="C12543" s="4" t="n">
        <v>542</v>
      </c>
      <c r="D12543" s="4" t="n">
        <v>163.955</v>
      </c>
      <c r="E12543" s="5" t="n">
        <v>913.1</v>
      </c>
      <c r="F12543" s="3" t="inlineStr">
        <is>
          <t>부강면</t>
        </is>
      </c>
      <c r="G12543" s="3" t="inlineStr">
        <is>
          <t>부강리</t>
        </is>
      </c>
      <c r="H12543" s="3" t="inlineStr">
        <is>
          <t>단독다가구</t>
        </is>
      </c>
      <c r="I12543" s="3" t="inlineStr">
        <is>
          <t>다가구</t>
        </is>
      </c>
      <c r="J12543" s="3" t="inlineStr">
        <is>
          <t>부강면</t>
        </is>
      </c>
    </row>
    <row r="12544">
      <c r="A12544" s="3" t="n">
        <v>2025</v>
      </c>
      <c r="B12544" s="4" t="n">
        <v>9220</v>
      </c>
      <c r="C12544" s="4" t="n">
        <v>476</v>
      </c>
      <c r="D12544" s="4" t="n">
        <v>143.99</v>
      </c>
      <c r="E12544" s="5" t="n">
        <v>64</v>
      </c>
      <c r="F12544" s="3" t="inlineStr">
        <is>
          <t>전의면</t>
        </is>
      </c>
      <c r="G12544" s="3" t="inlineStr">
        <is>
          <t>달전리</t>
        </is>
      </c>
      <c r="H12544" s="3" t="inlineStr">
        <is>
          <t>단독다가구</t>
        </is>
      </c>
      <c r="I12544" s="3" t="inlineStr">
        <is>
          <t>단독</t>
        </is>
      </c>
      <c r="J12544" s="3" t="inlineStr">
        <is>
          <t>전의면</t>
        </is>
      </c>
    </row>
    <row r="12545">
      <c r="A12545" s="3" t="n">
        <v>2025</v>
      </c>
      <c r="B12545" s="4" t="n">
        <v>81000</v>
      </c>
      <c r="C12545" s="4" t="n">
        <v>341</v>
      </c>
      <c r="D12545" s="4" t="n">
        <v>103.1525</v>
      </c>
      <c r="E12545" s="5" t="n">
        <v>785.2</v>
      </c>
      <c r="F12545" s="3" t="inlineStr">
        <is>
          <t>조치원읍</t>
        </is>
      </c>
      <c r="G12545" s="3" t="inlineStr">
        <is>
          <t>침산리</t>
        </is>
      </c>
      <c r="H12545" s="3" t="inlineStr">
        <is>
          <t>단독다가구</t>
        </is>
      </c>
      <c r="I12545" s="3" t="inlineStr">
        <is>
          <t>다가구</t>
        </is>
      </c>
      <c r="J12545" s="3" t="inlineStr">
        <is>
          <t>조치원읍</t>
        </is>
      </c>
    </row>
    <row r="12546">
      <c r="A12546" s="3" t="n">
        <v>2025</v>
      </c>
      <c r="B12546" s="4" t="n">
        <v>57000</v>
      </c>
      <c r="C12546" s="4" t="n">
        <v>309</v>
      </c>
      <c r="D12546" s="4" t="n">
        <v>93.4725</v>
      </c>
      <c r="E12546" s="5" t="n">
        <v>609.8</v>
      </c>
      <c r="F12546" s="3" t="inlineStr">
        <is>
          <t>조치원읍</t>
        </is>
      </c>
      <c r="G12546" s="3" t="inlineStr">
        <is>
          <t>신안리</t>
        </is>
      </c>
      <c r="H12546" s="3" t="inlineStr">
        <is>
          <t>단독다가구</t>
        </is>
      </c>
      <c r="I12546" s="3" t="inlineStr">
        <is>
          <t>단독</t>
        </is>
      </c>
      <c r="J12546" s="3" t="inlineStr">
        <is>
          <t>조치원읍</t>
        </is>
      </c>
    </row>
    <row r="12547">
      <c r="A12547" s="3" t="n">
        <v>2025</v>
      </c>
      <c r="B12547" s="4" t="n">
        <v>13500</v>
      </c>
      <c r="C12547" s="4" t="n">
        <v>354</v>
      </c>
      <c r="D12547" s="4" t="n">
        <v>107.085</v>
      </c>
      <c r="E12547" s="5" t="n">
        <v>126.1</v>
      </c>
      <c r="F12547" s="3" t="inlineStr">
        <is>
          <t>전동면</t>
        </is>
      </c>
      <c r="G12547" s="3" t="inlineStr">
        <is>
          <t>송정리</t>
        </is>
      </c>
      <c r="H12547" s="3" t="inlineStr">
        <is>
          <t>단독다가구</t>
        </is>
      </c>
      <c r="I12547" s="3" t="inlineStr">
        <is>
          <t>단독</t>
        </is>
      </c>
      <c r="J12547" s="3" t="inlineStr">
        <is>
          <t>전동면</t>
        </is>
      </c>
    </row>
    <row r="12548">
      <c r="A12548" s="3" t="n">
        <v>2025</v>
      </c>
      <c r="B12548" s="4" t="n">
        <v>80500</v>
      </c>
      <c r="C12548" s="4" t="n">
        <v>251.1</v>
      </c>
      <c r="D12548" s="4" t="n">
        <v>75.95774999999999</v>
      </c>
      <c r="E12548" s="5" t="n">
        <v>1059.8</v>
      </c>
      <c r="F12548" s="3" t="inlineStr">
        <is>
          <t>아름동</t>
        </is>
      </c>
      <c r="G12548" s="3" t="inlineStr"/>
      <c r="H12548" s="3" t="inlineStr">
        <is>
          <t>단독다가구</t>
        </is>
      </c>
      <c r="I12548" s="3" t="inlineStr">
        <is>
          <t>단독</t>
        </is>
      </c>
      <c r="J12548" s="3" t="inlineStr">
        <is>
          <t>아름동</t>
        </is>
      </c>
    </row>
    <row r="12549">
      <c r="A12549" s="3" t="n">
        <v>2025</v>
      </c>
      <c r="B12549" s="4" t="n">
        <v>15000</v>
      </c>
      <c r="C12549" s="4" t="n">
        <v>482</v>
      </c>
      <c r="D12549" s="4" t="n">
        <v>145.805</v>
      </c>
      <c r="E12549" s="5" t="n">
        <v>102.9</v>
      </c>
      <c r="F12549" s="3" t="inlineStr">
        <is>
          <t>연서면</t>
        </is>
      </c>
      <c r="G12549" s="3" t="inlineStr">
        <is>
          <t>신대리</t>
        </is>
      </c>
      <c r="H12549" s="3" t="inlineStr">
        <is>
          <t>단독다가구</t>
        </is>
      </c>
      <c r="I12549" s="3" t="inlineStr">
        <is>
          <t>단독</t>
        </is>
      </c>
      <c r="J12549" s="3" t="inlineStr">
        <is>
          <t>연서면</t>
        </is>
      </c>
    </row>
    <row r="12550">
      <c r="A12550" s="3" t="n">
        <v>2025</v>
      </c>
      <c r="B12550" s="4" t="n">
        <v>55000</v>
      </c>
      <c r="C12550" s="4" t="n">
        <v>159</v>
      </c>
      <c r="D12550" s="4" t="n">
        <v>48.0975</v>
      </c>
      <c r="E12550" s="5" t="n">
        <v>1143.5</v>
      </c>
      <c r="F12550" s="3" t="inlineStr">
        <is>
          <t>조치원읍</t>
        </is>
      </c>
      <c r="G12550" s="3" t="inlineStr">
        <is>
          <t>정리</t>
        </is>
      </c>
      <c r="H12550" s="3" t="inlineStr">
        <is>
          <t>단독다가구</t>
        </is>
      </c>
      <c r="I12550" s="3" t="inlineStr">
        <is>
          <t>단독</t>
        </is>
      </c>
      <c r="J12550" s="3" t="inlineStr">
        <is>
          <t>조치원읍</t>
        </is>
      </c>
    </row>
    <row r="12551">
      <c r="A12551" s="3" t="n">
        <v>2025</v>
      </c>
      <c r="B12551" s="4" t="n">
        <v>129734</v>
      </c>
      <c r="C12551" s="4" t="n">
        <v>328.6258</v>
      </c>
      <c r="D12551" s="4" t="n">
        <v>99.4093045</v>
      </c>
      <c r="E12551" s="5" t="n">
        <v>1305</v>
      </c>
      <c r="F12551" s="3" t="inlineStr">
        <is>
          <t>고운동</t>
        </is>
      </c>
      <c r="G12551" s="3" t="inlineStr"/>
      <c r="H12551" s="3" t="inlineStr">
        <is>
          <t>단독다가구</t>
        </is>
      </c>
      <c r="I12551" s="3" t="inlineStr">
        <is>
          <t>단독</t>
        </is>
      </c>
      <c r="J12551" s="3" t="inlineStr">
        <is>
          <t>고운동</t>
        </is>
      </c>
    </row>
    <row r="12552">
      <c r="A12552" s="3" t="n">
        <v>2025</v>
      </c>
      <c r="B12552" s="4" t="n">
        <v>48800</v>
      </c>
      <c r="C12552" s="4" t="n">
        <v>280.6</v>
      </c>
      <c r="D12552" s="4" t="n">
        <v>84.8815</v>
      </c>
      <c r="E12552" s="5" t="n">
        <v>574.9</v>
      </c>
      <c r="F12552" s="3" t="inlineStr">
        <is>
          <t>전의면</t>
        </is>
      </c>
      <c r="G12552" s="3" t="inlineStr">
        <is>
          <t>읍내리</t>
        </is>
      </c>
      <c r="H12552" s="3" t="inlineStr">
        <is>
          <t>단독다가구</t>
        </is>
      </c>
      <c r="I12552" s="3" t="inlineStr">
        <is>
          <t>다가구</t>
        </is>
      </c>
      <c r="J12552" s="3" t="inlineStr">
        <is>
          <t>전의면</t>
        </is>
      </c>
    </row>
    <row r="12553">
      <c r="A12553" s="3" t="n">
        <v>2025</v>
      </c>
      <c r="B12553" s="4" t="n">
        <v>18000</v>
      </c>
      <c r="C12553" s="4" t="n">
        <v>380</v>
      </c>
      <c r="D12553" s="4" t="n">
        <v>114.95</v>
      </c>
      <c r="E12553" s="5" t="n">
        <v>156.6</v>
      </c>
      <c r="F12553" s="3" t="inlineStr">
        <is>
          <t>전동면</t>
        </is>
      </c>
      <c r="G12553" s="3" t="inlineStr">
        <is>
          <t>심중리</t>
        </is>
      </c>
      <c r="H12553" s="3" t="inlineStr">
        <is>
          <t>단독다가구</t>
        </is>
      </c>
      <c r="I12553" s="3" t="inlineStr">
        <is>
          <t>단독</t>
        </is>
      </c>
      <c r="J12553" s="3" t="inlineStr">
        <is>
          <t>전동면</t>
        </is>
      </c>
    </row>
    <row r="12554">
      <c r="A12554" s="3" t="n">
        <v>2025</v>
      </c>
      <c r="B12554" s="4" t="n">
        <v>6000</v>
      </c>
      <c r="C12554" s="4" t="n">
        <v>72</v>
      </c>
      <c r="D12554" s="4" t="n">
        <v>21.78</v>
      </c>
      <c r="E12554" s="5" t="n">
        <v>275.5</v>
      </c>
      <c r="F12554" s="3" t="inlineStr">
        <is>
          <t>부강면</t>
        </is>
      </c>
      <c r="G12554" s="3" t="inlineStr">
        <is>
          <t>부강리</t>
        </is>
      </c>
      <c r="H12554" s="3" t="inlineStr">
        <is>
          <t>단독다가구</t>
        </is>
      </c>
      <c r="I12554" s="3" t="inlineStr">
        <is>
          <t>단독</t>
        </is>
      </c>
      <c r="J12554" s="3" t="inlineStr">
        <is>
          <t>부강면</t>
        </is>
      </c>
    </row>
    <row r="12555">
      <c r="A12555" s="3" t="n">
        <v>2025</v>
      </c>
      <c r="B12555" s="4" t="n">
        <v>75000</v>
      </c>
      <c r="C12555" s="4" t="n">
        <v>898</v>
      </c>
      <c r="D12555" s="4" t="n">
        <v>271.645</v>
      </c>
      <c r="E12555" s="5" t="n">
        <v>276.1</v>
      </c>
      <c r="F12555" s="3" t="inlineStr">
        <is>
          <t>조치원읍</t>
        </is>
      </c>
      <c r="G12555" s="3" t="inlineStr">
        <is>
          <t>신흥리</t>
        </is>
      </c>
      <c r="H12555" s="3" t="inlineStr">
        <is>
          <t>단독다가구</t>
        </is>
      </c>
      <c r="I12555" s="3" t="inlineStr">
        <is>
          <t>단독</t>
        </is>
      </c>
      <c r="J12555" s="3" t="inlineStr">
        <is>
          <t>조치원읍</t>
        </is>
      </c>
    </row>
    <row r="12556">
      <c r="A12556" s="3" t="n">
        <v>2025</v>
      </c>
      <c r="B12556" s="4" t="n">
        <v>94500</v>
      </c>
      <c r="C12556" s="4" t="n">
        <v>363</v>
      </c>
      <c r="D12556" s="4" t="n">
        <v>109.8075</v>
      </c>
      <c r="E12556" s="5" t="n">
        <v>860.6</v>
      </c>
      <c r="F12556" s="3" t="inlineStr">
        <is>
          <t>연서면</t>
        </is>
      </c>
      <c r="G12556" s="3" t="inlineStr">
        <is>
          <t>봉암리</t>
        </is>
      </c>
      <c r="H12556" s="3" t="inlineStr">
        <is>
          <t>단독다가구</t>
        </is>
      </c>
      <c r="I12556" s="3" t="inlineStr">
        <is>
          <t>다가구</t>
        </is>
      </c>
      <c r="J12556" s="3" t="inlineStr">
        <is>
          <t>연서면</t>
        </is>
      </c>
    </row>
    <row r="12557">
      <c r="A12557" s="3" t="n">
        <v>2025</v>
      </c>
      <c r="B12557" s="4" t="n">
        <v>120000</v>
      </c>
      <c r="C12557" s="4" t="n">
        <v>569</v>
      </c>
      <c r="D12557" s="4" t="n">
        <v>172.1225</v>
      </c>
      <c r="E12557" s="5" t="n">
        <v>697.2</v>
      </c>
      <c r="F12557" s="3" t="inlineStr">
        <is>
          <t>금남면</t>
        </is>
      </c>
      <c r="G12557" s="3" t="inlineStr">
        <is>
          <t>호탄리</t>
        </is>
      </c>
      <c r="H12557" s="3" t="inlineStr">
        <is>
          <t>단독다가구</t>
        </is>
      </c>
      <c r="I12557" s="3" t="inlineStr">
        <is>
          <t>단독</t>
        </is>
      </c>
      <c r="J12557" s="3" t="inlineStr">
        <is>
          <t>금남면</t>
        </is>
      </c>
    </row>
    <row r="12558">
      <c r="A12558" s="3" t="n">
        <v>2025</v>
      </c>
      <c r="B12558" s="4" t="n">
        <v>39000</v>
      </c>
      <c r="C12558" s="4" t="n">
        <v>267</v>
      </c>
      <c r="D12558" s="4" t="n">
        <v>80.7675</v>
      </c>
      <c r="E12558" s="5" t="n">
        <v>482.9</v>
      </c>
      <c r="F12558" s="3" t="inlineStr">
        <is>
          <t>조치원읍</t>
        </is>
      </c>
      <c r="G12558" s="3" t="inlineStr">
        <is>
          <t>명리</t>
        </is>
      </c>
      <c r="H12558" s="3" t="inlineStr">
        <is>
          <t>단독다가구</t>
        </is>
      </c>
      <c r="I12558" s="3" t="inlineStr">
        <is>
          <t>단독</t>
        </is>
      </c>
      <c r="J12558" s="3" t="inlineStr">
        <is>
          <t>조치원읍</t>
        </is>
      </c>
    </row>
    <row r="12559">
      <c r="A12559" s="3" t="n">
        <v>2025</v>
      </c>
      <c r="B12559" s="4" t="n">
        <v>31500</v>
      </c>
      <c r="C12559" s="4" t="n">
        <v>407</v>
      </c>
      <c r="D12559" s="4" t="n">
        <v>123.1175</v>
      </c>
      <c r="E12559" s="5" t="n">
        <v>255.9</v>
      </c>
      <c r="F12559" s="3" t="inlineStr">
        <is>
          <t>금남면</t>
        </is>
      </c>
      <c r="G12559" s="3" t="inlineStr">
        <is>
          <t>달전리</t>
        </is>
      </c>
      <c r="H12559" s="3" t="inlineStr">
        <is>
          <t>단독다가구</t>
        </is>
      </c>
      <c r="I12559" s="3" t="inlineStr">
        <is>
          <t>단독</t>
        </is>
      </c>
      <c r="J12559" s="3" t="inlineStr">
        <is>
          <t>금남면</t>
        </is>
      </c>
    </row>
    <row r="12560">
      <c r="A12560" s="3" t="n">
        <v>2025</v>
      </c>
      <c r="B12560" s="4" t="n">
        <v>126000</v>
      </c>
      <c r="C12560" s="4" t="n">
        <v>569</v>
      </c>
      <c r="D12560" s="4" t="n">
        <v>172.1225</v>
      </c>
      <c r="E12560" s="5" t="n">
        <v>732</v>
      </c>
      <c r="F12560" s="3" t="inlineStr">
        <is>
          <t>금남면</t>
        </is>
      </c>
      <c r="G12560" s="3" t="inlineStr">
        <is>
          <t>호탄리</t>
        </is>
      </c>
      <c r="H12560" s="3" t="inlineStr">
        <is>
          <t>단독다가구</t>
        </is>
      </c>
      <c r="I12560" s="3" t="inlineStr">
        <is>
          <t>단독</t>
        </is>
      </c>
      <c r="J12560" s="3" t="inlineStr">
        <is>
          <t>금남면</t>
        </is>
      </c>
    </row>
    <row r="12561">
      <c r="A12561" s="3" t="n">
        <v>2025</v>
      </c>
      <c r="B12561" s="4" t="n">
        <v>3216</v>
      </c>
      <c r="C12561" s="4" t="n">
        <v>136</v>
      </c>
      <c r="D12561" s="4" t="n">
        <v>41.14</v>
      </c>
      <c r="E12561" s="5" t="n">
        <v>78.2</v>
      </c>
      <c r="F12561" s="3" t="inlineStr">
        <is>
          <t>전동면</t>
        </is>
      </c>
      <c r="G12561" s="3" t="inlineStr">
        <is>
          <t>송곡리</t>
        </is>
      </c>
      <c r="H12561" s="3" t="inlineStr">
        <is>
          <t>단독다가구</t>
        </is>
      </c>
      <c r="I12561" s="3" t="inlineStr">
        <is>
          <t>단독</t>
        </is>
      </c>
      <c r="J12561" s="3" t="inlineStr">
        <is>
          <t>전동면</t>
        </is>
      </c>
    </row>
    <row r="12562">
      <c r="A12562" s="3" t="n">
        <v>2025</v>
      </c>
      <c r="B12562" s="4" t="n">
        <v>5150</v>
      </c>
      <c r="C12562" s="4" t="n">
        <v>448</v>
      </c>
      <c r="D12562" s="4" t="n">
        <v>135.52</v>
      </c>
      <c r="E12562" s="5" t="n">
        <v>38</v>
      </c>
      <c r="F12562" s="3" t="inlineStr">
        <is>
          <t>전동면</t>
        </is>
      </c>
      <c r="G12562" s="3" t="inlineStr">
        <is>
          <t>미곡리</t>
        </is>
      </c>
      <c r="H12562" s="3" t="inlineStr">
        <is>
          <t>단독다가구</t>
        </is>
      </c>
      <c r="I12562" s="3" t="inlineStr">
        <is>
          <t>단독</t>
        </is>
      </c>
      <c r="J12562" s="3" t="inlineStr">
        <is>
          <t>전동면</t>
        </is>
      </c>
    </row>
    <row r="12563">
      <c r="A12563" s="3" t="n">
        <v>2025</v>
      </c>
      <c r="B12563" s="4" t="n">
        <v>33000</v>
      </c>
      <c r="C12563" s="4" t="n">
        <v>221</v>
      </c>
      <c r="D12563" s="4" t="n">
        <v>66.85249999999999</v>
      </c>
      <c r="E12563" s="5" t="n">
        <v>493.6</v>
      </c>
      <c r="F12563" s="3" t="inlineStr">
        <is>
          <t>조치원읍</t>
        </is>
      </c>
      <c r="G12563" s="3" t="inlineStr">
        <is>
          <t>명리</t>
        </is>
      </c>
      <c r="H12563" s="3" t="inlineStr">
        <is>
          <t>단독다가구</t>
        </is>
      </c>
      <c r="I12563" s="3" t="inlineStr">
        <is>
          <t>단독</t>
        </is>
      </c>
      <c r="J12563" s="3" t="inlineStr">
        <is>
          <t>조치원읍</t>
        </is>
      </c>
    </row>
    <row r="12564">
      <c r="A12564" s="3" t="n">
        <v>2025</v>
      </c>
      <c r="B12564" s="4" t="n">
        <v>26000</v>
      </c>
      <c r="C12564" s="4" t="n">
        <v>412</v>
      </c>
      <c r="D12564" s="4" t="n">
        <v>124.63</v>
      </c>
      <c r="E12564" s="5" t="n">
        <v>208.6</v>
      </c>
      <c r="F12564" s="3" t="inlineStr">
        <is>
          <t>연동면</t>
        </is>
      </c>
      <c r="G12564" s="3" t="inlineStr">
        <is>
          <t>문주리</t>
        </is>
      </c>
      <c r="H12564" s="3" t="inlineStr">
        <is>
          <t>단독다가구</t>
        </is>
      </c>
      <c r="I12564" s="3" t="inlineStr">
        <is>
          <t>단독</t>
        </is>
      </c>
      <c r="J12564" s="3" t="inlineStr">
        <is>
          <t>연동면</t>
        </is>
      </c>
    </row>
    <row r="12565">
      <c r="A12565" s="3" t="n">
        <v>2025</v>
      </c>
      <c r="B12565" s="4" t="n">
        <v>62000</v>
      </c>
      <c r="C12565" s="4" t="n">
        <v>501</v>
      </c>
      <c r="D12565" s="4" t="n">
        <v>151.5525</v>
      </c>
      <c r="E12565" s="5" t="n">
        <v>409.1</v>
      </c>
      <c r="F12565" s="3" t="inlineStr">
        <is>
          <t>장군면</t>
        </is>
      </c>
      <c r="G12565" s="3" t="inlineStr">
        <is>
          <t>금암리</t>
        </is>
      </c>
      <c r="H12565" s="3" t="inlineStr">
        <is>
          <t>단독다가구</t>
        </is>
      </c>
      <c r="I12565" s="3" t="inlineStr">
        <is>
          <t>다가구</t>
        </is>
      </c>
      <c r="J12565" s="3" t="inlineStr">
        <is>
          <t>장군면</t>
        </is>
      </c>
    </row>
    <row r="12566">
      <c r="A12566" s="3" t="n">
        <v>2025</v>
      </c>
      <c r="B12566" s="4" t="n">
        <v>10400</v>
      </c>
      <c r="C12566" s="4" t="n">
        <v>142</v>
      </c>
      <c r="D12566" s="4" t="n">
        <v>42.955</v>
      </c>
      <c r="E12566" s="5" t="n">
        <v>242.1</v>
      </c>
      <c r="F12566" s="3" t="inlineStr">
        <is>
          <t>조치원읍</t>
        </is>
      </c>
      <c r="G12566" s="3" t="inlineStr">
        <is>
          <t>신흥리</t>
        </is>
      </c>
      <c r="H12566" s="3" t="inlineStr">
        <is>
          <t>단독다가구</t>
        </is>
      </c>
      <c r="I12566" s="3" t="inlineStr">
        <is>
          <t>단독</t>
        </is>
      </c>
      <c r="J12566" s="3" t="inlineStr">
        <is>
          <t>조치원읍</t>
        </is>
      </c>
    </row>
    <row r="12567">
      <c r="A12567" s="3" t="n">
        <v>2025</v>
      </c>
      <c r="B12567" s="4" t="n">
        <v>100000</v>
      </c>
      <c r="C12567" s="4" t="n">
        <v>389.3</v>
      </c>
      <c r="D12567" s="4" t="n">
        <v>117.76325</v>
      </c>
      <c r="E12567" s="5" t="n">
        <v>849.2</v>
      </c>
      <c r="F12567" s="3" t="inlineStr">
        <is>
          <t>고운동</t>
        </is>
      </c>
      <c r="G12567" s="3" t="inlineStr"/>
      <c r="H12567" s="3" t="inlineStr">
        <is>
          <t>단독다가구</t>
        </is>
      </c>
      <c r="I12567" s="3" t="inlineStr">
        <is>
          <t>단독</t>
        </is>
      </c>
      <c r="J12567" s="3" t="inlineStr">
        <is>
          <t>고운동</t>
        </is>
      </c>
    </row>
    <row r="12568">
      <c r="A12568" s="3" t="n">
        <v>2022</v>
      </c>
      <c r="B12568" s="4" t="n">
        <v>82500</v>
      </c>
      <c r="C12568" s="4" t="n">
        <v>265</v>
      </c>
      <c r="D12568" s="4" t="n">
        <v>80.16249999999999</v>
      </c>
      <c r="E12568" s="5" t="n">
        <v>1029.2</v>
      </c>
      <c r="F12568" s="3" t="inlineStr">
        <is>
          <t>조치원읍</t>
        </is>
      </c>
      <c r="G12568" s="3" t="inlineStr">
        <is>
          <t>침산리</t>
        </is>
      </c>
      <c r="H12568" s="3" t="inlineStr">
        <is>
          <t>단독다가구</t>
        </is>
      </c>
      <c r="I12568" s="3" t="inlineStr">
        <is>
          <t>다가구</t>
        </is>
      </c>
      <c r="J12568" s="3" t="inlineStr">
        <is>
          <t>조치원읍</t>
        </is>
      </c>
    </row>
    <row r="12569">
      <c r="A12569" s="3" t="n">
        <v>2022</v>
      </c>
      <c r="B12569" s="4" t="n">
        <v>16000</v>
      </c>
      <c r="C12569" s="4" t="n">
        <v>370</v>
      </c>
      <c r="D12569" s="4" t="n">
        <v>111.925</v>
      </c>
      <c r="E12569" s="5" t="n">
        <v>143</v>
      </c>
      <c r="F12569" s="3" t="inlineStr">
        <is>
          <t>부강면</t>
        </is>
      </c>
      <c r="G12569" s="3" t="inlineStr">
        <is>
          <t>행산리</t>
        </is>
      </c>
      <c r="H12569" s="3" t="inlineStr">
        <is>
          <t>단독다가구</t>
        </is>
      </c>
      <c r="I12569" s="3" t="inlineStr">
        <is>
          <t>단독</t>
        </is>
      </c>
      <c r="J12569" s="3" t="inlineStr">
        <is>
          <t>부강면</t>
        </is>
      </c>
    </row>
    <row r="12570">
      <c r="A12570" s="3" t="n">
        <v>2022</v>
      </c>
      <c r="B12570" s="4" t="n">
        <v>16000</v>
      </c>
      <c r="C12570" s="4" t="n">
        <v>370</v>
      </c>
      <c r="D12570" s="4" t="n">
        <v>111.925</v>
      </c>
      <c r="E12570" s="5" t="n">
        <v>143</v>
      </c>
      <c r="F12570" s="3" t="inlineStr">
        <is>
          <t>부강면</t>
        </is>
      </c>
      <c r="G12570" s="3" t="inlineStr">
        <is>
          <t>행산리</t>
        </is>
      </c>
      <c r="H12570" s="3" t="inlineStr">
        <is>
          <t>단독다가구</t>
        </is>
      </c>
      <c r="I12570" s="3" t="inlineStr">
        <is>
          <t>단독</t>
        </is>
      </c>
      <c r="J12570" s="3" t="inlineStr">
        <is>
          <t>부강면</t>
        </is>
      </c>
    </row>
    <row r="12571">
      <c r="A12571" s="3" t="n">
        <v>2022</v>
      </c>
      <c r="B12571" s="4" t="n">
        <v>27000</v>
      </c>
      <c r="C12571" s="4" t="n">
        <v>194.2</v>
      </c>
      <c r="D12571" s="4" t="n">
        <v>58.74549999999999</v>
      </c>
      <c r="E12571" s="5" t="n">
        <v>459.6</v>
      </c>
      <c r="F12571" s="3" t="inlineStr">
        <is>
          <t>조치원읍</t>
        </is>
      </c>
      <c r="G12571" s="3" t="inlineStr">
        <is>
          <t>교리</t>
        </is>
      </c>
      <c r="H12571" s="3" t="inlineStr">
        <is>
          <t>단독다가구</t>
        </is>
      </c>
      <c r="I12571" s="3" t="inlineStr">
        <is>
          <t>단독</t>
        </is>
      </c>
      <c r="J12571" s="3" t="inlineStr">
        <is>
          <t>조치원읍</t>
        </is>
      </c>
    </row>
    <row r="12572">
      <c r="A12572" s="3" t="n">
        <v>2022</v>
      </c>
      <c r="B12572" s="4" t="n">
        <v>31500</v>
      </c>
      <c r="C12572" s="4" t="n">
        <v>188</v>
      </c>
      <c r="D12572" s="4" t="n">
        <v>56.87</v>
      </c>
      <c r="E12572" s="5" t="n">
        <v>553.9</v>
      </c>
      <c r="F12572" s="3" t="inlineStr">
        <is>
          <t>조치원읍</t>
        </is>
      </c>
      <c r="G12572" s="3" t="inlineStr">
        <is>
          <t>명리</t>
        </is>
      </c>
      <c r="H12572" s="3" t="inlineStr">
        <is>
          <t>단독다가구</t>
        </is>
      </c>
      <c r="I12572" s="3" t="inlineStr">
        <is>
          <t>단독</t>
        </is>
      </c>
      <c r="J12572" s="3" t="inlineStr">
        <is>
          <t>조치원읍</t>
        </is>
      </c>
    </row>
    <row r="12573">
      <c r="A12573" s="3" t="n">
        <v>2022</v>
      </c>
      <c r="B12573" s="4" t="n">
        <v>73800</v>
      </c>
      <c r="C12573" s="4" t="n">
        <v>436</v>
      </c>
      <c r="D12573" s="4" t="n">
        <v>131.89</v>
      </c>
      <c r="E12573" s="5" t="n">
        <v>559.6</v>
      </c>
      <c r="F12573" s="3" t="inlineStr">
        <is>
          <t>연서면</t>
        </is>
      </c>
      <c r="G12573" s="3" t="inlineStr">
        <is>
          <t>봉암리</t>
        </is>
      </c>
      <c r="H12573" s="3" t="inlineStr">
        <is>
          <t>단독다가구</t>
        </is>
      </c>
      <c r="I12573" s="3" t="inlineStr">
        <is>
          <t>다가구</t>
        </is>
      </c>
      <c r="J12573" s="3" t="inlineStr">
        <is>
          <t>연서면</t>
        </is>
      </c>
    </row>
    <row r="12574">
      <c r="A12574" s="3" t="n">
        <v>2022</v>
      </c>
      <c r="B12574" s="4" t="n">
        <v>12300</v>
      </c>
      <c r="C12574" s="4" t="n">
        <v>298</v>
      </c>
      <c r="D12574" s="4" t="n">
        <v>90.145</v>
      </c>
      <c r="E12574" s="5" t="n">
        <v>136.4</v>
      </c>
      <c r="F12574" s="3" t="inlineStr">
        <is>
          <t>부강면</t>
        </is>
      </c>
      <c r="G12574" s="3" t="inlineStr">
        <is>
          <t>문곡리</t>
        </is>
      </c>
      <c r="H12574" s="3" t="inlineStr">
        <is>
          <t>단독다가구</t>
        </is>
      </c>
      <c r="I12574" s="3" t="inlineStr">
        <is>
          <t>단독</t>
        </is>
      </c>
      <c r="J12574" s="3" t="inlineStr">
        <is>
          <t>부강면</t>
        </is>
      </c>
    </row>
    <row r="12575">
      <c r="A12575" s="3" t="n">
        <v>2022</v>
      </c>
      <c r="B12575" s="4" t="n">
        <v>5000</v>
      </c>
      <c r="C12575" s="4" t="n">
        <v>99</v>
      </c>
      <c r="D12575" s="4" t="n">
        <v>29.9475</v>
      </c>
      <c r="E12575" s="5" t="n">
        <v>167</v>
      </c>
      <c r="F12575" s="3" t="inlineStr">
        <is>
          <t>조치원읍</t>
        </is>
      </c>
      <c r="G12575" s="3" t="inlineStr">
        <is>
          <t>평리</t>
        </is>
      </c>
      <c r="H12575" s="3" t="inlineStr">
        <is>
          <t>단독다가구</t>
        </is>
      </c>
      <c r="I12575" s="3" t="inlineStr">
        <is>
          <t>단독</t>
        </is>
      </c>
      <c r="J12575" s="3" t="inlineStr">
        <is>
          <t>조치원읍</t>
        </is>
      </c>
    </row>
    <row r="12576">
      <c r="A12576" s="3" t="n">
        <v>2022</v>
      </c>
      <c r="B12576" s="4" t="n">
        <v>32000</v>
      </c>
      <c r="C12576" s="4" t="n">
        <v>718</v>
      </c>
      <c r="D12576" s="4" t="n">
        <v>217.195</v>
      </c>
      <c r="E12576" s="5" t="n">
        <v>147.3</v>
      </c>
      <c r="F12576" s="3" t="inlineStr">
        <is>
          <t>소정면</t>
        </is>
      </c>
      <c r="G12576" s="3" t="inlineStr">
        <is>
          <t>대곡리</t>
        </is>
      </c>
      <c r="H12576" s="3" t="inlineStr">
        <is>
          <t>단독다가구</t>
        </is>
      </c>
      <c r="I12576" s="3" t="inlineStr">
        <is>
          <t>단독</t>
        </is>
      </c>
      <c r="J12576" s="3" t="inlineStr">
        <is>
          <t>소정면</t>
        </is>
      </c>
    </row>
    <row r="12577">
      <c r="A12577" s="3" t="n">
        <v>2022</v>
      </c>
      <c r="B12577" s="4" t="n">
        <v>27000</v>
      </c>
      <c r="C12577" s="4" t="n">
        <v>395</v>
      </c>
      <c r="D12577" s="4" t="n">
        <v>119.4875</v>
      </c>
      <c r="E12577" s="5" t="n">
        <v>226</v>
      </c>
      <c r="F12577" s="3" t="inlineStr">
        <is>
          <t>장군면</t>
        </is>
      </c>
      <c r="G12577" s="3" t="inlineStr">
        <is>
          <t>금암리</t>
        </is>
      </c>
      <c r="H12577" s="3" t="inlineStr">
        <is>
          <t>단독다가구</t>
        </is>
      </c>
      <c r="I12577" s="3" t="inlineStr">
        <is>
          <t>다가구</t>
        </is>
      </c>
      <c r="J12577" s="3" t="inlineStr">
        <is>
          <t>장군면</t>
        </is>
      </c>
    </row>
    <row r="12578">
      <c r="A12578" s="3" t="n">
        <v>2022</v>
      </c>
      <c r="B12578" s="4" t="n">
        <v>22000</v>
      </c>
      <c r="C12578" s="4" t="n">
        <v>166</v>
      </c>
      <c r="D12578" s="4" t="n">
        <v>50.215</v>
      </c>
      <c r="E12578" s="5" t="n">
        <v>438.1</v>
      </c>
      <c r="F12578" s="3" t="inlineStr">
        <is>
          <t>조치원읍</t>
        </is>
      </c>
      <c r="G12578" s="3" t="inlineStr">
        <is>
          <t>교리</t>
        </is>
      </c>
      <c r="H12578" s="3" t="inlineStr">
        <is>
          <t>단독다가구</t>
        </is>
      </c>
      <c r="I12578" s="3" t="inlineStr">
        <is>
          <t>단독</t>
        </is>
      </c>
      <c r="J12578" s="3" t="inlineStr">
        <is>
          <t>조치원읍</t>
        </is>
      </c>
    </row>
    <row r="12579">
      <c r="A12579" s="3" t="n">
        <v>2022</v>
      </c>
      <c r="B12579" s="4" t="n">
        <v>80000</v>
      </c>
      <c r="C12579" s="4" t="n">
        <v>488</v>
      </c>
      <c r="D12579" s="4" t="n">
        <v>147.62</v>
      </c>
      <c r="E12579" s="5" t="n">
        <v>541.9</v>
      </c>
      <c r="F12579" s="3" t="inlineStr">
        <is>
          <t>장군면</t>
        </is>
      </c>
      <c r="G12579" s="3" t="inlineStr">
        <is>
          <t>봉안리</t>
        </is>
      </c>
      <c r="H12579" s="3" t="inlineStr">
        <is>
          <t>단독다가구</t>
        </is>
      </c>
      <c r="I12579" s="3" t="inlineStr">
        <is>
          <t>단독</t>
        </is>
      </c>
      <c r="J12579" s="3" t="inlineStr">
        <is>
          <t>장군면</t>
        </is>
      </c>
    </row>
    <row r="12580">
      <c r="A12580" s="3" t="n">
        <v>2022</v>
      </c>
      <c r="B12580" s="4" t="n">
        <v>14000</v>
      </c>
      <c r="C12580" s="4" t="n">
        <v>436</v>
      </c>
      <c r="D12580" s="4" t="n">
        <v>131.89</v>
      </c>
      <c r="E12580" s="5" t="n">
        <v>106.1</v>
      </c>
      <c r="F12580" s="3" t="inlineStr">
        <is>
          <t>전동면</t>
        </is>
      </c>
      <c r="G12580" s="3" t="inlineStr">
        <is>
          <t>송성리</t>
        </is>
      </c>
      <c r="H12580" s="3" t="inlineStr">
        <is>
          <t>단독다가구</t>
        </is>
      </c>
      <c r="I12580" s="3" t="inlineStr">
        <is>
          <t>단독</t>
        </is>
      </c>
      <c r="J12580" s="3" t="inlineStr">
        <is>
          <t>전동면</t>
        </is>
      </c>
    </row>
    <row r="12581">
      <c r="A12581" s="3" t="n">
        <v>2023</v>
      </c>
      <c r="B12581" s="4" t="n">
        <v>123000</v>
      </c>
      <c r="C12581" s="4" t="n">
        <v>762</v>
      </c>
      <c r="D12581" s="4" t="n">
        <v>230.505</v>
      </c>
      <c r="E12581" s="5" t="n">
        <v>533.6</v>
      </c>
      <c r="F12581" s="3" t="inlineStr">
        <is>
          <t>장군면</t>
        </is>
      </c>
      <c r="G12581" s="3" t="inlineStr">
        <is>
          <t>금암리</t>
        </is>
      </c>
      <c r="H12581" s="3" t="inlineStr">
        <is>
          <t>단독다가구</t>
        </is>
      </c>
      <c r="I12581" s="3" t="inlineStr">
        <is>
          <t>단독</t>
        </is>
      </c>
      <c r="J12581" s="3" t="inlineStr">
        <is>
          <t>장군면</t>
        </is>
      </c>
    </row>
    <row r="12582">
      <c r="A12582" s="3" t="n">
        <v>2023</v>
      </c>
      <c r="B12582" s="4" t="n">
        <v>171000</v>
      </c>
      <c r="C12582" s="4" t="n">
        <v>335.9</v>
      </c>
      <c r="D12582" s="4" t="n">
        <v>101.60975</v>
      </c>
      <c r="E12582" s="5" t="n">
        <v>1682.9</v>
      </c>
      <c r="F12582" s="3" t="inlineStr">
        <is>
          <t>도담동</t>
        </is>
      </c>
      <c r="G12582" s="3" t="inlineStr"/>
      <c r="H12582" s="3" t="inlineStr">
        <is>
          <t>단독다가구</t>
        </is>
      </c>
      <c r="I12582" s="3" t="inlineStr">
        <is>
          <t>단독</t>
        </is>
      </c>
      <c r="J12582" s="3" t="inlineStr">
        <is>
          <t>도담동</t>
        </is>
      </c>
    </row>
    <row r="12583">
      <c r="A12583" s="3" t="n">
        <v>2023</v>
      </c>
      <c r="B12583" s="4" t="n">
        <v>176000</v>
      </c>
      <c r="C12583" s="4" t="n">
        <v>565</v>
      </c>
      <c r="D12583" s="4" t="n">
        <v>170.9125</v>
      </c>
      <c r="E12583" s="5" t="n">
        <v>1029.8</v>
      </c>
      <c r="F12583" s="3" t="inlineStr">
        <is>
          <t>연기면</t>
        </is>
      </c>
      <c r="G12583" s="3" t="inlineStr">
        <is>
          <t>보통리</t>
        </is>
      </c>
      <c r="H12583" s="3" t="inlineStr">
        <is>
          <t>단독다가구</t>
        </is>
      </c>
      <c r="I12583" s="3" t="inlineStr">
        <is>
          <t>다가구</t>
        </is>
      </c>
      <c r="J12583" s="3" t="inlineStr">
        <is>
          <t>연기면</t>
        </is>
      </c>
    </row>
    <row r="12584">
      <c r="A12584" s="3" t="n">
        <v>2023</v>
      </c>
      <c r="B12584" s="4" t="n">
        <v>15400</v>
      </c>
      <c r="C12584" s="4" t="n">
        <v>781</v>
      </c>
      <c r="D12584" s="4" t="n">
        <v>236.2525</v>
      </c>
      <c r="E12584" s="5" t="n">
        <v>65.2</v>
      </c>
      <c r="F12584" s="3" t="inlineStr">
        <is>
          <t>장군면</t>
        </is>
      </c>
      <c r="G12584" s="3" t="inlineStr">
        <is>
          <t>송문리</t>
        </is>
      </c>
      <c r="H12584" s="3" t="inlineStr">
        <is>
          <t>단독다가구</t>
        </is>
      </c>
      <c r="I12584" s="3" t="inlineStr">
        <is>
          <t>단독</t>
        </is>
      </c>
      <c r="J12584" s="3" t="inlineStr">
        <is>
          <t>장군면</t>
        </is>
      </c>
    </row>
    <row r="12585">
      <c r="A12585" s="3" t="n">
        <v>2023</v>
      </c>
      <c r="B12585" s="4" t="n">
        <v>10000</v>
      </c>
      <c r="C12585" s="4" t="n">
        <v>172</v>
      </c>
      <c r="D12585" s="4" t="n">
        <v>52.03</v>
      </c>
      <c r="E12585" s="5" t="n">
        <v>192.2</v>
      </c>
      <c r="F12585" s="3" t="inlineStr">
        <is>
          <t>부강면</t>
        </is>
      </c>
      <c r="G12585" s="3" t="inlineStr">
        <is>
          <t>갈산리</t>
        </is>
      </c>
      <c r="H12585" s="3" t="inlineStr">
        <is>
          <t>단독다가구</t>
        </is>
      </c>
      <c r="I12585" s="3" t="inlineStr">
        <is>
          <t>단독</t>
        </is>
      </c>
      <c r="J12585" s="3" t="inlineStr">
        <is>
          <t>부강면</t>
        </is>
      </c>
    </row>
    <row r="12586">
      <c r="A12586" s="3" t="n">
        <v>2023</v>
      </c>
      <c r="B12586" s="4" t="n">
        <v>54260</v>
      </c>
      <c r="C12586" s="4" t="n">
        <v>931</v>
      </c>
      <c r="D12586" s="4" t="n">
        <v>281.6275</v>
      </c>
      <c r="E12586" s="5" t="n">
        <v>192.7</v>
      </c>
      <c r="F12586" s="3" t="inlineStr">
        <is>
          <t>장군면</t>
        </is>
      </c>
      <c r="G12586" s="3" t="inlineStr">
        <is>
          <t>송학리</t>
        </is>
      </c>
      <c r="H12586" s="3" t="inlineStr">
        <is>
          <t>단독다가구</t>
        </is>
      </c>
      <c r="I12586" s="3" t="inlineStr">
        <is>
          <t>단독</t>
        </is>
      </c>
      <c r="J12586" s="3" t="inlineStr">
        <is>
          <t>장군면</t>
        </is>
      </c>
    </row>
    <row r="12587">
      <c r="A12587" s="3" t="n">
        <v>2023</v>
      </c>
      <c r="B12587" s="4" t="n">
        <v>77000</v>
      </c>
      <c r="C12587" s="4" t="n">
        <v>320</v>
      </c>
      <c r="D12587" s="4" t="n">
        <v>96.8</v>
      </c>
      <c r="E12587" s="5" t="n">
        <v>795.5</v>
      </c>
      <c r="F12587" s="3" t="inlineStr">
        <is>
          <t>장군면</t>
        </is>
      </c>
      <c r="G12587" s="3" t="inlineStr">
        <is>
          <t>봉안리</t>
        </is>
      </c>
      <c r="H12587" s="3" t="inlineStr">
        <is>
          <t>단독다가구</t>
        </is>
      </c>
      <c r="I12587" s="3" t="inlineStr">
        <is>
          <t>단독</t>
        </is>
      </c>
      <c r="J12587" s="3" t="inlineStr">
        <is>
          <t>장군면</t>
        </is>
      </c>
    </row>
    <row r="12588">
      <c r="A12588" s="3" t="n">
        <v>2023</v>
      </c>
      <c r="B12588" s="4" t="n">
        <v>33950</v>
      </c>
      <c r="C12588" s="4" t="n">
        <v>539</v>
      </c>
      <c r="D12588" s="4" t="n">
        <v>163.0475</v>
      </c>
      <c r="E12588" s="5" t="n">
        <v>208.2</v>
      </c>
      <c r="F12588" s="3" t="inlineStr">
        <is>
          <t>연서면</t>
        </is>
      </c>
      <c r="G12588" s="3" t="inlineStr">
        <is>
          <t>쌍류리</t>
        </is>
      </c>
      <c r="H12588" s="3" t="inlineStr">
        <is>
          <t>단독다가구</t>
        </is>
      </c>
      <c r="I12588" s="3" t="inlineStr">
        <is>
          <t>단독</t>
        </is>
      </c>
      <c r="J12588" s="3" t="inlineStr">
        <is>
          <t>연서면</t>
        </is>
      </c>
    </row>
    <row r="12589">
      <c r="A12589" s="3" t="n">
        <v>2023</v>
      </c>
      <c r="B12589" s="4" t="n">
        <v>88000</v>
      </c>
      <c r="C12589" s="4" t="n">
        <v>366</v>
      </c>
      <c r="D12589" s="4" t="n">
        <v>110.715</v>
      </c>
      <c r="E12589" s="5" t="n">
        <v>794.8</v>
      </c>
      <c r="F12589" s="3" t="inlineStr">
        <is>
          <t>조치원읍</t>
        </is>
      </c>
      <c r="G12589" s="3" t="inlineStr">
        <is>
          <t>신안리</t>
        </is>
      </c>
      <c r="H12589" s="3" t="inlineStr">
        <is>
          <t>단독다가구</t>
        </is>
      </c>
      <c r="I12589" s="3" t="inlineStr">
        <is>
          <t>다가구</t>
        </is>
      </c>
      <c r="J12589" s="3" t="inlineStr">
        <is>
          <t>조치원읍</t>
        </is>
      </c>
    </row>
    <row r="12590">
      <c r="A12590" s="3" t="n">
        <v>2023</v>
      </c>
      <c r="B12590" s="4" t="n">
        <v>3000</v>
      </c>
      <c r="C12590" s="4" t="n">
        <v>242</v>
      </c>
      <c r="D12590" s="4" t="n">
        <v>73.205</v>
      </c>
      <c r="E12590" s="5" t="n">
        <v>41</v>
      </c>
      <c r="F12590" s="3" t="inlineStr">
        <is>
          <t>전의면</t>
        </is>
      </c>
      <c r="G12590" s="3" t="inlineStr">
        <is>
          <t>금사리</t>
        </is>
      </c>
      <c r="H12590" s="3" t="inlineStr">
        <is>
          <t>단독다가구</t>
        </is>
      </c>
      <c r="I12590" s="3" t="inlineStr">
        <is>
          <t>단독</t>
        </is>
      </c>
      <c r="J12590" s="3" t="inlineStr">
        <is>
          <t>전의면</t>
        </is>
      </c>
    </row>
    <row r="12591">
      <c r="A12591" s="3" t="n">
        <v>2022</v>
      </c>
      <c r="B12591" s="4" t="n">
        <v>23700</v>
      </c>
      <c r="C12591" s="4" t="n">
        <v>691</v>
      </c>
      <c r="D12591" s="4" t="n">
        <v>209.0275</v>
      </c>
      <c r="E12591" s="5" t="n">
        <v>113.4</v>
      </c>
      <c r="F12591" s="3" t="inlineStr">
        <is>
          <t>연동면</t>
        </is>
      </c>
      <c r="G12591" s="3" t="inlineStr">
        <is>
          <t>예양리</t>
        </is>
      </c>
      <c r="H12591" s="3" t="inlineStr">
        <is>
          <t>단독다가구</t>
        </is>
      </c>
      <c r="I12591" s="3" t="inlineStr">
        <is>
          <t>단독</t>
        </is>
      </c>
      <c r="J12591" s="3" t="inlineStr">
        <is>
          <t>연동면</t>
        </is>
      </c>
    </row>
    <row r="12592">
      <c r="A12592" s="3" t="n">
        <v>2023</v>
      </c>
      <c r="B12592" s="4" t="n">
        <v>18562</v>
      </c>
      <c r="C12592" s="4" t="n">
        <v>704</v>
      </c>
      <c r="D12592" s="4" t="n">
        <v>212.96</v>
      </c>
      <c r="E12592" s="5" t="n">
        <v>87.2</v>
      </c>
      <c r="F12592" s="3" t="inlineStr">
        <is>
          <t>장군면</t>
        </is>
      </c>
      <c r="G12592" s="3" t="inlineStr">
        <is>
          <t>은용리</t>
        </is>
      </c>
      <c r="H12592" s="3" t="inlineStr">
        <is>
          <t>단독다가구</t>
        </is>
      </c>
      <c r="I12592" s="3" t="inlineStr">
        <is>
          <t>단독</t>
        </is>
      </c>
      <c r="J12592" s="3" t="inlineStr">
        <is>
          <t>장군면</t>
        </is>
      </c>
    </row>
    <row r="12593">
      <c r="A12593" s="3" t="n">
        <v>2024</v>
      </c>
      <c r="B12593" s="4" t="n">
        <v>85470</v>
      </c>
      <c r="C12593" s="4" t="n">
        <v>309.2</v>
      </c>
      <c r="D12593" s="4" t="n">
        <v>93.53299999999999</v>
      </c>
      <c r="E12593" s="5" t="n">
        <v>913.8</v>
      </c>
      <c r="F12593" s="3" t="inlineStr">
        <is>
          <t>고운동</t>
        </is>
      </c>
      <c r="G12593" s="3" t="inlineStr"/>
      <c r="H12593" s="3" t="inlineStr">
        <is>
          <t>단독다가구</t>
        </is>
      </c>
      <c r="I12593" s="3" t="inlineStr">
        <is>
          <t>단독</t>
        </is>
      </c>
      <c r="J12593" s="3" t="inlineStr">
        <is>
          <t>고운동</t>
        </is>
      </c>
    </row>
    <row r="12594">
      <c r="A12594" s="3" t="n">
        <v>2022</v>
      </c>
      <c r="B12594" s="4" t="n">
        <v>40000</v>
      </c>
      <c r="C12594" s="4" t="n">
        <v>321</v>
      </c>
      <c r="D12594" s="4" t="n">
        <v>97.10249999999999</v>
      </c>
      <c r="E12594" s="5" t="n">
        <v>411.9</v>
      </c>
      <c r="F12594" s="3" t="inlineStr">
        <is>
          <t>조치원읍</t>
        </is>
      </c>
      <c r="G12594" s="3" t="inlineStr">
        <is>
          <t>서창리</t>
        </is>
      </c>
      <c r="H12594" s="3" t="inlineStr">
        <is>
          <t>단독다가구</t>
        </is>
      </c>
      <c r="I12594" s="3" t="inlineStr">
        <is>
          <t>단독</t>
        </is>
      </c>
      <c r="J12594" s="3" t="inlineStr">
        <is>
          <t>조치원읍</t>
        </is>
      </c>
    </row>
    <row r="12595">
      <c r="A12595" s="3" t="n">
        <v>2022</v>
      </c>
      <c r="B12595" s="4" t="n">
        <v>13500</v>
      </c>
      <c r="C12595" s="4" t="n">
        <v>138</v>
      </c>
      <c r="D12595" s="4" t="n">
        <v>41.745</v>
      </c>
      <c r="E12595" s="5" t="n">
        <v>323.4</v>
      </c>
      <c r="F12595" s="3" t="inlineStr">
        <is>
          <t>조치원읍</t>
        </is>
      </c>
      <c r="G12595" s="3" t="inlineStr">
        <is>
          <t>죽림리</t>
        </is>
      </c>
      <c r="H12595" s="3" t="inlineStr">
        <is>
          <t>단독다가구</t>
        </is>
      </c>
      <c r="I12595" s="3" t="inlineStr">
        <is>
          <t>단독</t>
        </is>
      </c>
      <c r="J12595" s="3" t="inlineStr">
        <is>
          <t>조치원읍</t>
        </is>
      </c>
    </row>
    <row r="12596">
      <c r="A12596" s="3" t="n">
        <v>2022</v>
      </c>
      <c r="B12596" s="4" t="n">
        <v>24000</v>
      </c>
      <c r="C12596" s="4" t="n">
        <v>646</v>
      </c>
      <c r="D12596" s="4" t="n">
        <v>195.415</v>
      </c>
      <c r="E12596" s="5" t="n">
        <v>122.8</v>
      </c>
      <c r="F12596" s="3" t="inlineStr">
        <is>
          <t>전동면</t>
        </is>
      </c>
      <c r="G12596" s="3" t="inlineStr">
        <is>
          <t>미곡리</t>
        </is>
      </c>
      <c r="H12596" s="3" t="inlineStr">
        <is>
          <t>단독다가구</t>
        </is>
      </c>
      <c r="I12596" s="3" t="inlineStr">
        <is>
          <t>단독</t>
        </is>
      </c>
      <c r="J12596" s="3" t="inlineStr">
        <is>
          <t>전동면</t>
        </is>
      </c>
    </row>
    <row r="12597">
      <c r="A12597" s="3" t="n">
        <v>2022</v>
      </c>
      <c r="B12597" s="4" t="n">
        <v>12700</v>
      </c>
      <c r="C12597" s="4" t="n">
        <v>123</v>
      </c>
      <c r="D12597" s="4" t="n">
        <v>37.2075</v>
      </c>
      <c r="E12597" s="5" t="n">
        <v>341.3</v>
      </c>
      <c r="F12597" s="3" t="inlineStr">
        <is>
          <t>조치원읍</t>
        </is>
      </c>
      <c r="G12597" s="3" t="inlineStr">
        <is>
          <t>명리</t>
        </is>
      </c>
      <c r="H12597" s="3" t="inlineStr">
        <is>
          <t>단독다가구</t>
        </is>
      </c>
      <c r="I12597" s="3" t="inlineStr">
        <is>
          <t>단독</t>
        </is>
      </c>
      <c r="J12597" s="3" t="inlineStr">
        <is>
          <t>조치원읍</t>
        </is>
      </c>
    </row>
    <row r="12598">
      <c r="A12598" s="3" t="n">
        <v>2022</v>
      </c>
      <c r="B12598" s="4" t="n">
        <v>108000</v>
      </c>
      <c r="C12598" s="4" t="n">
        <v>1096</v>
      </c>
      <c r="D12598" s="4" t="n">
        <v>331.54</v>
      </c>
      <c r="E12598" s="5" t="n">
        <v>325.8</v>
      </c>
      <c r="F12598" s="3" t="inlineStr">
        <is>
          <t>장군면</t>
        </is>
      </c>
      <c r="G12598" s="3" t="inlineStr">
        <is>
          <t>산학리</t>
        </is>
      </c>
      <c r="H12598" s="3" t="inlineStr">
        <is>
          <t>단독다가구</t>
        </is>
      </c>
      <c r="I12598" s="3" t="inlineStr">
        <is>
          <t>단독</t>
        </is>
      </c>
      <c r="J12598" s="3" t="inlineStr">
        <is>
          <t>장군면</t>
        </is>
      </c>
    </row>
    <row r="12599">
      <c r="A12599" s="3" t="n">
        <v>2022</v>
      </c>
      <c r="B12599" s="4" t="n">
        <v>105000</v>
      </c>
      <c r="C12599" s="4" t="n">
        <v>420</v>
      </c>
      <c r="D12599" s="4" t="n">
        <v>127.05</v>
      </c>
      <c r="E12599" s="5" t="n">
        <v>826.4</v>
      </c>
      <c r="F12599" s="3" t="inlineStr">
        <is>
          <t>금남면</t>
        </is>
      </c>
      <c r="G12599" s="3" t="inlineStr">
        <is>
          <t>용포리</t>
        </is>
      </c>
      <c r="H12599" s="3" t="inlineStr">
        <is>
          <t>단독다가구</t>
        </is>
      </c>
      <c r="I12599" s="3" t="inlineStr">
        <is>
          <t>다가구</t>
        </is>
      </c>
      <c r="J12599" s="3" t="inlineStr">
        <is>
          <t>금남면</t>
        </is>
      </c>
    </row>
    <row r="12600">
      <c r="A12600" s="3" t="n">
        <v>2022</v>
      </c>
      <c r="B12600" s="4" t="n">
        <v>59250</v>
      </c>
      <c r="C12600" s="4" t="n">
        <v>295</v>
      </c>
      <c r="D12600" s="4" t="n">
        <v>89.2375</v>
      </c>
      <c r="E12600" s="5" t="n">
        <v>664</v>
      </c>
      <c r="F12600" s="3" t="inlineStr">
        <is>
          <t>장군면</t>
        </is>
      </c>
      <c r="G12600" s="3" t="inlineStr">
        <is>
          <t>대교리</t>
        </is>
      </c>
      <c r="H12600" s="3" t="inlineStr">
        <is>
          <t>단독다가구</t>
        </is>
      </c>
      <c r="I12600" s="3" t="inlineStr">
        <is>
          <t>다가구</t>
        </is>
      </c>
      <c r="J12600" s="3" t="inlineStr">
        <is>
          <t>장군면</t>
        </is>
      </c>
    </row>
    <row r="12601">
      <c r="A12601" s="3" t="n">
        <v>2022</v>
      </c>
      <c r="B12601" s="4" t="n">
        <v>21000</v>
      </c>
      <c r="C12601" s="4" t="n">
        <v>707</v>
      </c>
      <c r="D12601" s="4" t="n">
        <v>213.8675</v>
      </c>
      <c r="E12601" s="5" t="n">
        <v>98.2</v>
      </c>
      <c r="F12601" s="3" t="inlineStr">
        <is>
          <t>전동면</t>
        </is>
      </c>
      <c r="G12601" s="3" t="inlineStr">
        <is>
          <t>미곡리</t>
        </is>
      </c>
      <c r="H12601" s="3" t="inlineStr">
        <is>
          <t>단독다가구</t>
        </is>
      </c>
      <c r="I12601" s="3" t="inlineStr">
        <is>
          <t>단독</t>
        </is>
      </c>
      <c r="J12601" s="3" t="inlineStr">
        <is>
          <t>전동면</t>
        </is>
      </c>
    </row>
    <row r="12602">
      <c r="A12602" s="3" t="n">
        <v>2022</v>
      </c>
      <c r="B12602" s="4" t="n">
        <v>11000</v>
      </c>
      <c r="C12602" s="4" t="n">
        <v>160</v>
      </c>
      <c r="D12602" s="4" t="n">
        <v>48.4</v>
      </c>
      <c r="E12602" s="5" t="n">
        <v>227.3</v>
      </c>
      <c r="F12602" s="3" t="inlineStr">
        <is>
          <t>조치원읍</t>
        </is>
      </c>
      <c r="G12602" s="3" t="inlineStr">
        <is>
          <t>신흥리</t>
        </is>
      </c>
      <c r="H12602" s="3" t="inlineStr">
        <is>
          <t>단독다가구</t>
        </is>
      </c>
      <c r="I12602" s="3" t="inlineStr">
        <is>
          <t>단독</t>
        </is>
      </c>
      <c r="J12602" s="3" t="inlineStr">
        <is>
          <t>조치원읍</t>
        </is>
      </c>
    </row>
    <row r="12603">
      <c r="A12603" s="3" t="n">
        <v>2022</v>
      </c>
      <c r="B12603" s="4" t="n">
        <v>24500</v>
      </c>
      <c r="C12603" s="4" t="n">
        <v>176</v>
      </c>
      <c r="D12603" s="4" t="n">
        <v>53.23999999999999</v>
      </c>
      <c r="E12603" s="5" t="n">
        <v>460.2</v>
      </c>
      <c r="F12603" s="3" t="inlineStr">
        <is>
          <t>조치원읍</t>
        </is>
      </c>
      <c r="G12603" s="3" t="inlineStr">
        <is>
          <t>침산리</t>
        </is>
      </c>
      <c r="H12603" s="3" t="inlineStr">
        <is>
          <t>단독다가구</t>
        </is>
      </c>
      <c r="I12603" s="3" t="inlineStr">
        <is>
          <t>단독</t>
        </is>
      </c>
      <c r="J12603" s="3" t="inlineStr">
        <is>
          <t>조치원읍</t>
        </is>
      </c>
    </row>
    <row r="12604">
      <c r="A12604" s="3" t="n">
        <v>2022</v>
      </c>
      <c r="B12604" s="4" t="n">
        <v>74750</v>
      </c>
      <c r="C12604" s="4" t="n">
        <v>299</v>
      </c>
      <c r="D12604" s="4" t="n">
        <v>90.44749999999999</v>
      </c>
      <c r="E12604" s="5" t="n">
        <v>826.4</v>
      </c>
      <c r="F12604" s="3" t="inlineStr">
        <is>
          <t>장군면</t>
        </is>
      </c>
      <c r="G12604" s="3" t="inlineStr">
        <is>
          <t>봉안리</t>
        </is>
      </c>
      <c r="H12604" s="3" t="inlineStr">
        <is>
          <t>단독다가구</t>
        </is>
      </c>
      <c r="I12604" s="3" t="inlineStr">
        <is>
          <t>다가구</t>
        </is>
      </c>
      <c r="J12604" s="3" t="inlineStr">
        <is>
          <t>장군면</t>
        </is>
      </c>
    </row>
    <row r="12605">
      <c r="A12605" s="3" t="n">
        <v>2023</v>
      </c>
      <c r="B12605" s="4" t="n">
        <v>39000</v>
      </c>
      <c r="C12605" s="4" t="n">
        <v>469</v>
      </c>
      <c r="D12605" s="4" t="n">
        <v>141.8725</v>
      </c>
      <c r="E12605" s="5" t="n">
        <v>274.9</v>
      </c>
      <c r="F12605" s="3" t="inlineStr">
        <is>
          <t>남이면</t>
        </is>
      </c>
      <c r="G12605" s="3" t="inlineStr">
        <is>
          <t>가좌리</t>
        </is>
      </c>
      <c r="H12605" s="3" t="inlineStr">
        <is>
          <t>단독다가구</t>
        </is>
      </c>
      <c r="I12605" s="3" t="inlineStr">
        <is>
          <t>단독</t>
        </is>
      </c>
      <c r="J12605" s="3" t="inlineStr">
        <is>
          <t>남이면</t>
        </is>
      </c>
    </row>
    <row r="12606">
      <c r="A12606" s="3" t="n">
        <v>2023</v>
      </c>
      <c r="B12606" s="4" t="n">
        <v>26200</v>
      </c>
      <c r="C12606" s="4" t="n">
        <v>440</v>
      </c>
      <c r="D12606" s="4" t="n">
        <v>133.1</v>
      </c>
      <c r="E12606" s="5" t="n">
        <v>196.8</v>
      </c>
      <c r="F12606" s="3" t="inlineStr">
        <is>
          <t>남이면</t>
        </is>
      </c>
      <c r="G12606" s="3" t="inlineStr">
        <is>
          <t>문동리</t>
        </is>
      </c>
      <c r="H12606" s="3" t="inlineStr">
        <is>
          <t>단독다가구</t>
        </is>
      </c>
      <c r="I12606" s="3" t="inlineStr">
        <is>
          <t>단독</t>
        </is>
      </c>
      <c r="J12606" s="3" t="inlineStr">
        <is>
          <t>남이면</t>
        </is>
      </c>
    </row>
    <row r="12607">
      <c r="A12607" s="3" t="n">
        <v>2023</v>
      </c>
      <c r="B12607" s="4" t="n">
        <v>70000</v>
      </c>
      <c r="C12607" s="4" t="n">
        <v>600</v>
      </c>
      <c r="D12607" s="4" t="n">
        <v>181.5</v>
      </c>
      <c r="E12607" s="5" t="n">
        <v>385.7</v>
      </c>
      <c r="F12607" s="3" t="inlineStr">
        <is>
          <t>남이면</t>
        </is>
      </c>
      <c r="G12607" s="3" t="inlineStr">
        <is>
          <t>석판리</t>
        </is>
      </c>
      <c r="H12607" s="3" t="inlineStr">
        <is>
          <t>단독다가구</t>
        </is>
      </c>
      <c r="I12607" s="3" t="inlineStr">
        <is>
          <t>단독</t>
        </is>
      </c>
      <c r="J12607" s="3" t="inlineStr">
        <is>
          <t>남이면</t>
        </is>
      </c>
    </row>
    <row r="12608">
      <c r="A12608" s="3" t="n">
        <v>2023</v>
      </c>
      <c r="B12608" s="4" t="n">
        <v>60000</v>
      </c>
      <c r="C12608" s="4" t="n">
        <v>1300</v>
      </c>
      <c r="D12608" s="4" t="n">
        <v>393.25</v>
      </c>
      <c r="E12608" s="5" t="n">
        <v>152.6</v>
      </c>
      <c r="F12608" s="3" t="inlineStr">
        <is>
          <t>남이면</t>
        </is>
      </c>
      <c r="G12608" s="3" t="inlineStr">
        <is>
          <t>척산리</t>
        </is>
      </c>
      <c r="H12608" s="3" t="inlineStr">
        <is>
          <t>단독다가구</t>
        </is>
      </c>
      <c r="I12608" s="3" t="inlineStr">
        <is>
          <t>단독</t>
        </is>
      </c>
      <c r="J12608" s="3" t="inlineStr">
        <is>
          <t>남이면</t>
        </is>
      </c>
    </row>
    <row r="12609">
      <c r="A12609" s="3" t="n">
        <v>2023</v>
      </c>
      <c r="B12609" s="4" t="n">
        <v>3350</v>
      </c>
      <c r="C12609" s="4" t="n">
        <v>311</v>
      </c>
      <c r="D12609" s="4" t="n">
        <v>94.0775</v>
      </c>
      <c r="E12609" s="5" t="n">
        <v>35.6</v>
      </c>
      <c r="F12609" s="3" t="inlineStr">
        <is>
          <t>현도면</t>
        </is>
      </c>
      <c r="G12609" s="3" t="inlineStr">
        <is>
          <t>달계리</t>
        </is>
      </c>
      <c r="H12609" s="3" t="inlineStr">
        <is>
          <t>단독다가구</t>
        </is>
      </c>
      <c r="I12609" s="3" t="inlineStr">
        <is>
          <t>단독</t>
        </is>
      </c>
      <c r="J12609" s="3" t="inlineStr">
        <is>
          <t>현도면</t>
        </is>
      </c>
    </row>
    <row r="12610">
      <c r="A12610" s="3" t="n">
        <v>2023</v>
      </c>
      <c r="B12610" s="4" t="n">
        <v>34000</v>
      </c>
      <c r="C12610" s="4" t="n">
        <v>370</v>
      </c>
      <c r="D12610" s="4" t="n">
        <v>111.925</v>
      </c>
      <c r="E12610" s="5" t="n">
        <v>303.8</v>
      </c>
      <c r="F12610" s="3" t="inlineStr">
        <is>
          <t>현도면</t>
        </is>
      </c>
      <c r="G12610" s="3" t="inlineStr">
        <is>
          <t>하석리</t>
        </is>
      </c>
      <c r="H12610" s="3" t="inlineStr">
        <is>
          <t>단독다가구</t>
        </is>
      </c>
      <c r="I12610" s="3" t="inlineStr">
        <is>
          <t>단독</t>
        </is>
      </c>
      <c r="J12610" s="3" t="inlineStr">
        <is>
          <t>현도면</t>
        </is>
      </c>
    </row>
    <row r="12611">
      <c r="A12611" s="3" t="n">
        <v>2022</v>
      </c>
      <c r="B12611" s="4" t="n">
        <v>18000</v>
      </c>
      <c r="C12611" s="4" t="n">
        <v>590</v>
      </c>
      <c r="D12611" s="4" t="n">
        <v>178.475</v>
      </c>
      <c r="E12611" s="5" t="n">
        <v>100.9</v>
      </c>
      <c r="F12611" s="3" t="inlineStr">
        <is>
          <t>전동면</t>
        </is>
      </c>
      <c r="G12611" s="3" t="inlineStr">
        <is>
          <t>송곡리</t>
        </is>
      </c>
      <c r="H12611" s="3" t="inlineStr">
        <is>
          <t>단독다가구</t>
        </is>
      </c>
      <c r="I12611" s="3" t="inlineStr">
        <is>
          <t>단독</t>
        </is>
      </c>
      <c r="J12611" s="3" t="inlineStr">
        <is>
          <t>전동면</t>
        </is>
      </c>
    </row>
    <row r="12612">
      <c r="A12612" s="3" t="n">
        <v>2024</v>
      </c>
      <c r="B12612" s="4" t="n">
        <v>20500</v>
      </c>
      <c r="C12612" s="4" t="n">
        <v>448.1</v>
      </c>
      <c r="D12612" s="4" t="n">
        <v>135.55025</v>
      </c>
      <c r="E12612" s="5" t="n">
        <v>151.2</v>
      </c>
      <c r="F12612" s="3" t="inlineStr">
        <is>
          <t>전의면</t>
        </is>
      </c>
      <c r="G12612" s="3" t="inlineStr">
        <is>
          <t>동교리</t>
        </is>
      </c>
      <c r="H12612" s="3" t="inlineStr">
        <is>
          <t>단독다가구</t>
        </is>
      </c>
      <c r="I12612" s="3" t="inlineStr">
        <is>
          <t>단독</t>
        </is>
      </c>
      <c r="J12612" s="3" t="inlineStr">
        <is>
          <t>전의면</t>
        </is>
      </c>
    </row>
    <row r="12613">
      <c r="A12613" s="3" t="n">
        <v>2022</v>
      </c>
      <c r="B12613" s="4" t="n">
        <v>14000</v>
      </c>
      <c r="C12613" s="4" t="n">
        <v>175</v>
      </c>
      <c r="D12613" s="4" t="n">
        <v>52.9375</v>
      </c>
      <c r="E12613" s="5" t="n">
        <v>264.5</v>
      </c>
      <c r="F12613" s="3" t="inlineStr">
        <is>
          <t>연서면</t>
        </is>
      </c>
      <c r="G12613" s="3" t="inlineStr">
        <is>
          <t>봉암리</t>
        </is>
      </c>
      <c r="H12613" s="3" t="inlineStr">
        <is>
          <t>단독다가구</t>
        </is>
      </c>
      <c r="I12613" s="3" t="inlineStr">
        <is>
          <t>단독</t>
        </is>
      </c>
      <c r="J12613" s="3" t="inlineStr">
        <is>
          <t>연서면</t>
        </is>
      </c>
    </row>
    <row r="12614">
      <c r="A12614" s="3" t="n">
        <v>2022</v>
      </c>
      <c r="B12614" s="4" t="n">
        <v>9000</v>
      </c>
      <c r="C12614" s="4" t="n">
        <v>145</v>
      </c>
      <c r="D12614" s="4" t="n">
        <v>43.8625</v>
      </c>
      <c r="E12614" s="5" t="n">
        <v>205.2</v>
      </c>
      <c r="F12614" s="3" t="inlineStr">
        <is>
          <t>부강면</t>
        </is>
      </c>
      <c r="G12614" s="3" t="inlineStr">
        <is>
          <t>부강리</t>
        </is>
      </c>
      <c r="H12614" s="3" t="inlineStr">
        <is>
          <t>단독다가구</t>
        </is>
      </c>
      <c r="I12614" s="3" t="inlineStr">
        <is>
          <t>단독</t>
        </is>
      </c>
      <c r="J12614" s="3" t="inlineStr">
        <is>
          <t>부강면</t>
        </is>
      </c>
    </row>
    <row r="12615">
      <c r="A12615" s="3" t="n">
        <v>2022</v>
      </c>
      <c r="B12615" s="4" t="n">
        <v>37000</v>
      </c>
      <c r="C12615" s="4" t="n">
        <v>305</v>
      </c>
      <c r="D12615" s="4" t="n">
        <v>92.2625</v>
      </c>
      <c r="E12615" s="5" t="n">
        <v>401</v>
      </c>
      <c r="F12615" s="3" t="inlineStr">
        <is>
          <t>조치원읍</t>
        </is>
      </c>
      <c r="G12615" s="3" t="inlineStr">
        <is>
          <t>신안리</t>
        </is>
      </c>
      <c r="H12615" s="3" t="inlineStr">
        <is>
          <t>단독다가구</t>
        </is>
      </c>
      <c r="I12615" s="3" t="inlineStr">
        <is>
          <t>다가구</t>
        </is>
      </c>
      <c r="J12615" s="3" t="inlineStr">
        <is>
          <t>조치원읍</t>
        </is>
      </c>
    </row>
    <row r="12616">
      <c r="A12616" s="3" t="n">
        <v>2022</v>
      </c>
      <c r="B12616" s="4" t="n">
        <v>15000</v>
      </c>
      <c r="C12616" s="4" t="n">
        <v>106</v>
      </c>
      <c r="D12616" s="4" t="n">
        <v>32.065</v>
      </c>
      <c r="E12616" s="5" t="n">
        <v>467.8</v>
      </c>
      <c r="F12616" s="3" t="inlineStr">
        <is>
          <t>조치원읍</t>
        </is>
      </c>
      <c r="G12616" s="3" t="inlineStr">
        <is>
          <t>평리</t>
        </is>
      </c>
      <c r="H12616" s="3" t="inlineStr">
        <is>
          <t>단독다가구</t>
        </is>
      </c>
      <c r="I12616" s="3" t="inlineStr">
        <is>
          <t>단독</t>
        </is>
      </c>
      <c r="J12616" s="3" t="inlineStr">
        <is>
          <t>조치원읍</t>
        </is>
      </c>
    </row>
    <row r="12617">
      <c r="A12617" s="3" t="n">
        <v>2022</v>
      </c>
      <c r="B12617" s="4" t="n">
        <v>40500</v>
      </c>
      <c r="C12617" s="4" t="n">
        <v>942</v>
      </c>
      <c r="D12617" s="4" t="n">
        <v>284.955</v>
      </c>
      <c r="E12617" s="5" t="n">
        <v>142.1</v>
      </c>
      <c r="F12617" s="3" t="inlineStr">
        <is>
          <t>소정면</t>
        </is>
      </c>
      <c r="G12617" s="3" t="inlineStr">
        <is>
          <t>대곡리</t>
        </is>
      </c>
      <c r="H12617" s="3" t="inlineStr">
        <is>
          <t>단독다가구</t>
        </is>
      </c>
      <c r="I12617" s="3" t="inlineStr">
        <is>
          <t>다가구</t>
        </is>
      </c>
      <c r="J12617" s="3" t="inlineStr">
        <is>
          <t>소정면</t>
        </is>
      </c>
    </row>
    <row r="12618">
      <c r="A12618" s="3" t="n">
        <v>2022</v>
      </c>
      <c r="B12618" s="4" t="n">
        <v>44000</v>
      </c>
      <c r="C12618" s="4" t="n">
        <v>275</v>
      </c>
      <c r="D12618" s="4" t="n">
        <v>83.1875</v>
      </c>
      <c r="E12618" s="5" t="n">
        <v>528.9</v>
      </c>
      <c r="F12618" s="3" t="inlineStr">
        <is>
          <t>장군면</t>
        </is>
      </c>
      <c r="G12618" s="3" t="inlineStr">
        <is>
          <t>도계리</t>
        </is>
      </c>
      <c r="H12618" s="3" t="inlineStr">
        <is>
          <t>단독다가구</t>
        </is>
      </c>
      <c r="I12618" s="3" t="inlineStr">
        <is>
          <t>단독</t>
        </is>
      </c>
      <c r="J12618" s="3" t="inlineStr">
        <is>
          <t>장군면</t>
        </is>
      </c>
    </row>
    <row r="12619">
      <c r="A12619" s="3" t="n">
        <v>2022</v>
      </c>
      <c r="B12619" s="4" t="n">
        <v>36000</v>
      </c>
      <c r="C12619" s="4" t="n">
        <v>520</v>
      </c>
      <c r="D12619" s="4" t="n">
        <v>157.3</v>
      </c>
      <c r="E12619" s="5" t="n">
        <v>228.9</v>
      </c>
      <c r="F12619" s="3" t="inlineStr">
        <is>
          <t>금남면</t>
        </is>
      </c>
      <c r="G12619" s="3" t="inlineStr">
        <is>
          <t>도남리</t>
        </is>
      </c>
      <c r="H12619" s="3" t="inlineStr">
        <is>
          <t>단독다가구</t>
        </is>
      </c>
      <c r="I12619" s="3" t="inlineStr">
        <is>
          <t>단독</t>
        </is>
      </c>
      <c r="J12619" s="3" t="inlineStr">
        <is>
          <t>금남면</t>
        </is>
      </c>
    </row>
    <row r="12620">
      <c r="A12620" s="3" t="n">
        <v>2022</v>
      </c>
      <c r="B12620" s="4" t="n">
        <v>125000</v>
      </c>
      <c r="C12620" s="4" t="n">
        <v>305</v>
      </c>
      <c r="D12620" s="4" t="n">
        <v>92.2625</v>
      </c>
      <c r="E12620" s="5" t="n">
        <v>1354.8</v>
      </c>
      <c r="F12620" s="3" t="inlineStr">
        <is>
          <t>도담동</t>
        </is>
      </c>
      <c r="G12620" s="3" t="inlineStr"/>
      <c r="H12620" s="3" t="inlineStr">
        <is>
          <t>단독다가구</t>
        </is>
      </c>
      <c r="I12620" s="3" t="inlineStr">
        <is>
          <t>단독</t>
        </is>
      </c>
      <c r="J12620" s="3" t="inlineStr">
        <is>
          <t>도담동</t>
        </is>
      </c>
    </row>
    <row r="12621">
      <c r="A12621" s="3" t="n">
        <v>2022</v>
      </c>
      <c r="B12621" s="4" t="n">
        <v>10000</v>
      </c>
      <c r="C12621" s="4" t="n">
        <v>344</v>
      </c>
      <c r="D12621" s="4" t="n">
        <v>104.06</v>
      </c>
      <c r="E12621" s="5" t="n">
        <v>96.09999999999999</v>
      </c>
      <c r="F12621" s="3" t="inlineStr">
        <is>
          <t>장군면</t>
        </is>
      </c>
      <c r="G12621" s="3" t="inlineStr">
        <is>
          <t>하봉리</t>
        </is>
      </c>
      <c r="H12621" s="3" t="inlineStr">
        <is>
          <t>단독다가구</t>
        </is>
      </c>
      <c r="I12621" s="3" t="inlineStr">
        <is>
          <t>단독</t>
        </is>
      </c>
      <c r="J12621" s="3" t="inlineStr">
        <is>
          <t>장군면</t>
        </is>
      </c>
    </row>
    <row r="12622">
      <c r="A12622" s="3" t="n">
        <v>2022</v>
      </c>
      <c r="B12622" s="4" t="n">
        <v>43000</v>
      </c>
      <c r="C12622" s="4" t="n">
        <v>294</v>
      </c>
      <c r="D12622" s="4" t="n">
        <v>88.935</v>
      </c>
      <c r="E12622" s="5" t="n">
        <v>483.5</v>
      </c>
      <c r="F12622" s="3" t="inlineStr">
        <is>
          <t>조치원읍</t>
        </is>
      </c>
      <c r="G12622" s="3" t="inlineStr">
        <is>
          <t>신안리</t>
        </is>
      </c>
      <c r="H12622" s="3" t="inlineStr">
        <is>
          <t>단독다가구</t>
        </is>
      </c>
      <c r="I12622" s="3" t="inlineStr">
        <is>
          <t>다가구</t>
        </is>
      </c>
      <c r="J12622" s="3" t="inlineStr">
        <is>
          <t>조치원읍</t>
        </is>
      </c>
    </row>
    <row r="12623">
      <c r="A12623" s="3" t="n">
        <v>2022</v>
      </c>
      <c r="B12623" s="4" t="n">
        <v>82000</v>
      </c>
      <c r="C12623" s="4" t="n">
        <v>638</v>
      </c>
      <c r="D12623" s="4" t="n">
        <v>192.995</v>
      </c>
      <c r="E12623" s="5" t="n">
        <v>424.9</v>
      </c>
      <c r="F12623" s="3" t="inlineStr">
        <is>
          <t>조치원읍</t>
        </is>
      </c>
      <c r="G12623" s="3" t="inlineStr">
        <is>
          <t>정리</t>
        </is>
      </c>
      <c r="H12623" s="3" t="inlineStr">
        <is>
          <t>단독다가구</t>
        </is>
      </c>
      <c r="I12623" s="3" t="inlineStr">
        <is>
          <t>단독</t>
        </is>
      </c>
      <c r="J12623" s="3" t="inlineStr">
        <is>
          <t>조치원읍</t>
        </is>
      </c>
    </row>
    <row r="12624">
      <c r="A12624" s="3" t="n">
        <v>2022</v>
      </c>
      <c r="B12624" s="4" t="n">
        <v>83200</v>
      </c>
      <c r="C12624" s="4" t="n">
        <v>361</v>
      </c>
      <c r="D12624" s="4" t="n">
        <v>109.2025</v>
      </c>
      <c r="E12624" s="5" t="n">
        <v>761.9</v>
      </c>
      <c r="F12624" s="3" t="inlineStr">
        <is>
          <t>장군면</t>
        </is>
      </c>
      <c r="G12624" s="3" t="inlineStr">
        <is>
          <t>봉안리</t>
        </is>
      </c>
      <c r="H12624" s="3" t="inlineStr">
        <is>
          <t>단독다가구</t>
        </is>
      </c>
      <c r="I12624" s="3" t="inlineStr">
        <is>
          <t>다가구</t>
        </is>
      </c>
      <c r="J12624" s="3" t="inlineStr">
        <is>
          <t>장군면</t>
        </is>
      </c>
    </row>
    <row r="12625">
      <c r="A12625" s="3" t="n">
        <v>2022</v>
      </c>
      <c r="B12625" s="4" t="n">
        <v>26500</v>
      </c>
      <c r="C12625" s="4" t="n">
        <v>380</v>
      </c>
      <c r="D12625" s="4" t="n">
        <v>114.95</v>
      </c>
      <c r="E12625" s="5" t="n">
        <v>230.5</v>
      </c>
      <c r="F12625" s="3" t="inlineStr">
        <is>
          <t>소정면</t>
        </is>
      </c>
      <c r="G12625" s="3" t="inlineStr">
        <is>
          <t>대곡리</t>
        </is>
      </c>
      <c r="H12625" s="3" t="inlineStr">
        <is>
          <t>단독다가구</t>
        </is>
      </c>
      <c r="I12625" s="3" t="inlineStr">
        <is>
          <t>단독</t>
        </is>
      </c>
      <c r="J12625" s="3" t="inlineStr">
        <is>
          <t>소정면</t>
        </is>
      </c>
    </row>
    <row r="12626">
      <c r="A12626" s="3" t="n">
        <v>2022</v>
      </c>
      <c r="B12626" s="4" t="n">
        <v>55500</v>
      </c>
      <c r="C12626" s="4" t="n">
        <v>270.8</v>
      </c>
      <c r="D12626" s="4" t="n">
        <v>81.917</v>
      </c>
      <c r="E12626" s="5" t="n">
        <v>677.5</v>
      </c>
      <c r="F12626" s="3" t="inlineStr">
        <is>
          <t>조치원읍</t>
        </is>
      </c>
      <c r="G12626" s="3" t="inlineStr">
        <is>
          <t>남리</t>
        </is>
      </c>
      <c r="H12626" s="3" t="inlineStr">
        <is>
          <t>단독다가구</t>
        </is>
      </c>
      <c r="I12626" s="3" t="inlineStr">
        <is>
          <t>다가구</t>
        </is>
      </c>
      <c r="J12626" s="3" t="inlineStr">
        <is>
          <t>조치원읍</t>
        </is>
      </c>
    </row>
    <row r="12627">
      <c r="A12627" s="3" t="n">
        <v>2022</v>
      </c>
      <c r="B12627" s="4" t="n">
        <v>101000</v>
      </c>
      <c r="C12627" s="4" t="n">
        <v>337</v>
      </c>
      <c r="D12627" s="4" t="n">
        <v>101.9425</v>
      </c>
      <c r="E12627" s="5" t="n">
        <v>990.8</v>
      </c>
      <c r="F12627" s="3" t="inlineStr">
        <is>
          <t>조치원읍</t>
        </is>
      </c>
      <c r="G12627" s="3" t="inlineStr">
        <is>
          <t>신안리</t>
        </is>
      </c>
      <c r="H12627" s="3" t="inlineStr">
        <is>
          <t>단독다가구</t>
        </is>
      </c>
      <c r="I12627" s="3" t="inlineStr">
        <is>
          <t>다가구</t>
        </is>
      </c>
      <c r="J12627" s="3" t="inlineStr">
        <is>
          <t>조치원읍</t>
        </is>
      </c>
    </row>
    <row r="12628">
      <c r="A12628" s="3" t="n">
        <v>2022</v>
      </c>
      <c r="B12628" s="4" t="n">
        <v>95000</v>
      </c>
      <c r="C12628" s="4" t="n">
        <v>379</v>
      </c>
      <c r="D12628" s="4" t="n">
        <v>114.6475</v>
      </c>
      <c r="E12628" s="5" t="n">
        <v>828.6</v>
      </c>
      <c r="F12628" s="3" t="inlineStr">
        <is>
          <t>조치원읍</t>
        </is>
      </c>
      <c r="G12628" s="3" t="inlineStr">
        <is>
          <t>남리</t>
        </is>
      </c>
      <c r="H12628" s="3" t="inlineStr">
        <is>
          <t>단독다가구</t>
        </is>
      </c>
      <c r="I12628" s="3" t="inlineStr">
        <is>
          <t>다가구</t>
        </is>
      </c>
      <c r="J12628" s="3" t="inlineStr">
        <is>
          <t>조치원읍</t>
        </is>
      </c>
    </row>
    <row r="12629">
      <c r="A12629" s="3" t="n">
        <v>2022</v>
      </c>
      <c r="B12629" s="4" t="n">
        <v>5500</v>
      </c>
      <c r="C12629" s="4" t="n">
        <v>99</v>
      </c>
      <c r="D12629" s="4" t="n">
        <v>29.9475</v>
      </c>
      <c r="E12629" s="5" t="n">
        <v>183.7</v>
      </c>
      <c r="F12629" s="3" t="inlineStr">
        <is>
          <t>조치원읍</t>
        </is>
      </c>
      <c r="G12629" s="3" t="inlineStr">
        <is>
          <t>평리</t>
        </is>
      </c>
      <c r="H12629" s="3" t="inlineStr">
        <is>
          <t>단독다가구</t>
        </is>
      </c>
      <c r="I12629" s="3" t="inlineStr">
        <is>
          <t>단독</t>
        </is>
      </c>
      <c r="J12629" s="3" t="inlineStr">
        <is>
          <t>조치원읍</t>
        </is>
      </c>
    </row>
    <row r="12630">
      <c r="A12630" s="3" t="n">
        <v>2022</v>
      </c>
      <c r="B12630" s="4" t="n">
        <v>29000</v>
      </c>
      <c r="C12630" s="4" t="n">
        <v>660</v>
      </c>
      <c r="D12630" s="4" t="n">
        <v>199.65</v>
      </c>
      <c r="E12630" s="5" t="n">
        <v>145.3</v>
      </c>
      <c r="F12630" s="3" t="inlineStr">
        <is>
          <t>전의면</t>
        </is>
      </c>
      <c r="G12630" s="3" t="inlineStr">
        <is>
          <t>유천리</t>
        </is>
      </c>
      <c r="H12630" s="3" t="inlineStr">
        <is>
          <t>단독다가구</t>
        </is>
      </c>
      <c r="I12630" s="3" t="inlineStr">
        <is>
          <t>단독</t>
        </is>
      </c>
      <c r="J12630" s="3" t="inlineStr">
        <is>
          <t>전의면</t>
        </is>
      </c>
    </row>
    <row r="12631">
      <c r="A12631" s="3" t="n">
        <v>2022</v>
      </c>
      <c r="B12631" s="4" t="n">
        <v>6000</v>
      </c>
      <c r="C12631" s="4" t="n">
        <v>79</v>
      </c>
      <c r="D12631" s="4" t="n">
        <v>23.8975</v>
      </c>
      <c r="E12631" s="5" t="n">
        <v>251.1</v>
      </c>
      <c r="F12631" s="3" t="inlineStr">
        <is>
          <t>금남면</t>
        </is>
      </c>
      <c r="G12631" s="3" t="inlineStr">
        <is>
          <t>용포리</t>
        </is>
      </c>
      <c r="H12631" s="3" t="inlineStr">
        <is>
          <t>단독다가구</t>
        </is>
      </c>
      <c r="I12631" s="3" t="inlineStr">
        <is>
          <t>단독</t>
        </is>
      </c>
      <c r="J12631" s="3" t="inlineStr">
        <is>
          <t>금남면</t>
        </is>
      </c>
    </row>
    <row r="12632">
      <c r="A12632" s="3" t="n">
        <v>2022</v>
      </c>
      <c r="B12632" s="4" t="n">
        <v>71000</v>
      </c>
      <c r="C12632" s="4" t="n">
        <v>159.4</v>
      </c>
      <c r="D12632" s="4" t="n">
        <v>48.2185</v>
      </c>
      <c r="E12632" s="5" t="n">
        <v>1472.5</v>
      </c>
      <c r="F12632" s="3" t="inlineStr">
        <is>
          <t>조치원읍</t>
        </is>
      </c>
      <c r="G12632" s="3" t="inlineStr">
        <is>
          <t>침산리</t>
        </is>
      </c>
      <c r="H12632" s="3" t="inlineStr">
        <is>
          <t>단독다가구</t>
        </is>
      </c>
      <c r="I12632" s="3" t="inlineStr">
        <is>
          <t>다가구</t>
        </is>
      </c>
      <c r="J12632" s="3" t="inlineStr">
        <is>
          <t>조치원읍</t>
        </is>
      </c>
    </row>
    <row r="12633">
      <c r="A12633" s="3" t="n">
        <v>2022</v>
      </c>
      <c r="B12633" s="4" t="n">
        <v>48000</v>
      </c>
      <c r="C12633" s="4" t="n">
        <v>341</v>
      </c>
      <c r="D12633" s="4" t="n">
        <v>103.1525</v>
      </c>
      <c r="E12633" s="5" t="n">
        <v>465.3</v>
      </c>
      <c r="F12633" s="3" t="inlineStr">
        <is>
          <t>조치원읍</t>
        </is>
      </c>
      <c r="G12633" s="3" t="inlineStr">
        <is>
          <t>상리</t>
        </is>
      </c>
      <c r="H12633" s="3" t="inlineStr">
        <is>
          <t>단독다가구</t>
        </is>
      </c>
      <c r="I12633" s="3" t="inlineStr">
        <is>
          <t>단독</t>
        </is>
      </c>
      <c r="J12633" s="3" t="inlineStr">
        <is>
          <t>조치원읍</t>
        </is>
      </c>
    </row>
    <row r="12634">
      <c r="A12634" s="3" t="n">
        <v>2022</v>
      </c>
      <c r="B12634" s="4" t="n">
        <v>60000</v>
      </c>
      <c r="C12634" s="4" t="n">
        <v>541</v>
      </c>
      <c r="D12634" s="4" t="n">
        <v>163.6525</v>
      </c>
      <c r="E12634" s="5" t="n">
        <v>366.6</v>
      </c>
      <c r="F12634" s="3" t="inlineStr">
        <is>
          <t>장군면</t>
        </is>
      </c>
      <c r="G12634" s="3" t="inlineStr">
        <is>
          <t>대교리</t>
        </is>
      </c>
      <c r="H12634" s="3" t="inlineStr">
        <is>
          <t>단독다가구</t>
        </is>
      </c>
      <c r="I12634" s="3" t="inlineStr">
        <is>
          <t>단독</t>
        </is>
      </c>
      <c r="J12634" s="3" t="inlineStr">
        <is>
          <t>장군면</t>
        </is>
      </c>
    </row>
    <row r="12635">
      <c r="A12635" s="3" t="n">
        <v>2022</v>
      </c>
      <c r="B12635" s="4" t="n">
        <v>37500</v>
      </c>
      <c r="C12635" s="4" t="n">
        <v>165</v>
      </c>
      <c r="D12635" s="4" t="n">
        <v>49.9125</v>
      </c>
      <c r="E12635" s="5" t="n">
        <v>751.3</v>
      </c>
      <c r="F12635" s="3" t="inlineStr">
        <is>
          <t>부강면</t>
        </is>
      </c>
      <c r="G12635" s="3" t="inlineStr">
        <is>
          <t>부강리</t>
        </is>
      </c>
      <c r="H12635" s="3" t="inlineStr">
        <is>
          <t>단독다가구</t>
        </is>
      </c>
      <c r="I12635" s="3" t="inlineStr">
        <is>
          <t>단독</t>
        </is>
      </c>
      <c r="J12635" s="3" t="inlineStr">
        <is>
          <t>부강면</t>
        </is>
      </c>
    </row>
    <row r="12636">
      <c r="A12636" s="3" t="n">
        <v>2022</v>
      </c>
      <c r="B12636" s="4" t="n">
        <v>120000</v>
      </c>
      <c r="C12636" s="4" t="n">
        <v>330.1</v>
      </c>
      <c r="D12636" s="4" t="n">
        <v>99.85525</v>
      </c>
      <c r="E12636" s="5" t="n">
        <v>1201.7</v>
      </c>
      <c r="F12636" s="3" t="inlineStr">
        <is>
          <t>고운동</t>
        </is>
      </c>
      <c r="G12636" s="3" t="inlineStr"/>
      <c r="H12636" s="3" t="inlineStr">
        <is>
          <t>단독다가구</t>
        </is>
      </c>
      <c r="I12636" s="3" t="inlineStr">
        <is>
          <t>단독</t>
        </is>
      </c>
      <c r="J12636" s="3" t="inlineStr">
        <is>
          <t>고운동</t>
        </is>
      </c>
    </row>
    <row r="12637">
      <c r="A12637" s="3" t="n">
        <v>2022</v>
      </c>
      <c r="B12637" s="4" t="n">
        <v>37500</v>
      </c>
      <c r="C12637" s="4" t="n">
        <v>165</v>
      </c>
      <c r="D12637" s="4" t="n">
        <v>49.9125</v>
      </c>
      <c r="E12637" s="5" t="n">
        <v>751.3</v>
      </c>
      <c r="F12637" s="3" t="inlineStr">
        <is>
          <t>부강면</t>
        </is>
      </c>
      <c r="G12637" s="3" t="inlineStr">
        <is>
          <t>부강리</t>
        </is>
      </c>
      <c r="H12637" s="3" t="inlineStr">
        <is>
          <t>단독다가구</t>
        </is>
      </c>
      <c r="I12637" s="3" t="inlineStr">
        <is>
          <t>단독</t>
        </is>
      </c>
      <c r="J12637" s="3" t="inlineStr">
        <is>
          <t>부강면</t>
        </is>
      </c>
    </row>
    <row r="12638">
      <c r="A12638" s="3" t="n">
        <v>2022</v>
      </c>
      <c r="B12638" s="4" t="n">
        <v>176000</v>
      </c>
      <c r="C12638" s="4" t="n">
        <v>556</v>
      </c>
      <c r="D12638" s="4" t="n">
        <v>168.19</v>
      </c>
      <c r="E12638" s="5" t="n">
        <v>1046.4</v>
      </c>
      <c r="F12638" s="3" t="inlineStr">
        <is>
          <t>연기면</t>
        </is>
      </c>
      <c r="G12638" s="3" t="inlineStr">
        <is>
          <t>보통리</t>
        </is>
      </c>
      <c r="H12638" s="3" t="inlineStr">
        <is>
          <t>단독다가구</t>
        </is>
      </c>
      <c r="I12638" s="3" t="inlineStr">
        <is>
          <t>다가구</t>
        </is>
      </c>
      <c r="J12638" s="3" t="inlineStr">
        <is>
          <t>연기면</t>
        </is>
      </c>
    </row>
    <row r="12639">
      <c r="A12639" s="3" t="n">
        <v>2022</v>
      </c>
      <c r="B12639" s="4" t="n">
        <v>42000</v>
      </c>
      <c r="C12639" s="4" t="n">
        <v>376</v>
      </c>
      <c r="D12639" s="4" t="n">
        <v>113.74</v>
      </c>
      <c r="E12639" s="5" t="n">
        <v>369.3</v>
      </c>
      <c r="F12639" s="3" t="inlineStr">
        <is>
          <t>연서면</t>
        </is>
      </c>
      <c r="G12639" s="3" t="inlineStr">
        <is>
          <t>월하리</t>
        </is>
      </c>
      <c r="H12639" s="3" t="inlineStr">
        <is>
          <t>단독다가구</t>
        </is>
      </c>
      <c r="I12639" s="3" t="inlineStr">
        <is>
          <t>단독</t>
        </is>
      </c>
      <c r="J12639" s="3" t="inlineStr">
        <is>
          <t>연서면</t>
        </is>
      </c>
    </row>
    <row r="12640">
      <c r="A12640" s="3" t="n">
        <v>2022</v>
      </c>
      <c r="B12640" s="4" t="n">
        <v>15750</v>
      </c>
      <c r="C12640" s="4" t="n">
        <v>149</v>
      </c>
      <c r="D12640" s="4" t="n">
        <v>45.0725</v>
      </c>
      <c r="E12640" s="5" t="n">
        <v>349.4</v>
      </c>
      <c r="F12640" s="3" t="inlineStr">
        <is>
          <t>조치원읍</t>
        </is>
      </c>
      <c r="G12640" s="3" t="inlineStr">
        <is>
          <t>죽림리</t>
        </is>
      </c>
      <c r="H12640" s="3" t="inlineStr">
        <is>
          <t>단독다가구</t>
        </is>
      </c>
      <c r="I12640" s="3" t="inlineStr">
        <is>
          <t>단독</t>
        </is>
      </c>
      <c r="J12640" s="3" t="inlineStr">
        <is>
          <t>조치원읍</t>
        </is>
      </c>
    </row>
    <row r="12641">
      <c r="A12641" s="3" t="n">
        <v>2022</v>
      </c>
      <c r="B12641" s="4" t="n">
        <v>40000</v>
      </c>
      <c r="C12641" s="4" t="n">
        <v>321</v>
      </c>
      <c r="D12641" s="4" t="n">
        <v>97.10249999999999</v>
      </c>
      <c r="E12641" s="5" t="n">
        <v>411.9</v>
      </c>
      <c r="F12641" s="3" t="inlineStr">
        <is>
          <t>조치원읍</t>
        </is>
      </c>
      <c r="G12641" s="3" t="inlineStr">
        <is>
          <t>서창리</t>
        </is>
      </c>
      <c r="H12641" s="3" t="inlineStr">
        <is>
          <t>단독다가구</t>
        </is>
      </c>
      <c r="I12641" s="3" t="inlineStr">
        <is>
          <t>단독</t>
        </is>
      </c>
      <c r="J12641" s="3" t="inlineStr">
        <is>
          <t>조치원읍</t>
        </is>
      </c>
    </row>
    <row r="12642">
      <c r="A12642" s="3" t="n">
        <v>2022</v>
      </c>
      <c r="B12642" s="4" t="n">
        <v>24500</v>
      </c>
      <c r="C12642" s="4" t="n">
        <v>691</v>
      </c>
      <c r="D12642" s="4" t="n">
        <v>209.0275</v>
      </c>
      <c r="E12642" s="5" t="n">
        <v>117.2</v>
      </c>
      <c r="F12642" s="3" t="inlineStr">
        <is>
          <t>연동면</t>
        </is>
      </c>
      <c r="G12642" s="3" t="inlineStr">
        <is>
          <t>예양리</t>
        </is>
      </c>
      <c r="H12642" s="3" t="inlineStr">
        <is>
          <t>단독다가구</t>
        </is>
      </c>
      <c r="I12642" s="3" t="inlineStr">
        <is>
          <t>단독</t>
        </is>
      </c>
      <c r="J12642" s="3" t="inlineStr">
        <is>
          <t>연동면</t>
        </is>
      </c>
    </row>
    <row r="12643">
      <c r="A12643" s="3" t="n">
        <v>2022</v>
      </c>
      <c r="B12643" s="4" t="n">
        <v>63500</v>
      </c>
      <c r="C12643" s="4" t="n">
        <v>172</v>
      </c>
      <c r="D12643" s="4" t="n">
        <v>52.03</v>
      </c>
      <c r="E12643" s="5" t="n">
        <v>1220.4</v>
      </c>
      <c r="F12643" s="3" t="inlineStr">
        <is>
          <t>금남면</t>
        </is>
      </c>
      <c r="G12643" s="3" t="inlineStr">
        <is>
          <t>용포리</t>
        </is>
      </c>
      <c r="H12643" s="3" t="inlineStr">
        <is>
          <t>단독다가구</t>
        </is>
      </c>
      <c r="I12643" s="3" t="inlineStr">
        <is>
          <t>다가구</t>
        </is>
      </c>
      <c r="J12643" s="3" t="inlineStr">
        <is>
          <t>금남면</t>
        </is>
      </c>
    </row>
    <row r="12644">
      <c r="A12644" s="3" t="n">
        <v>2022</v>
      </c>
      <c r="B12644" s="4" t="n">
        <v>98800</v>
      </c>
      <c r="C12644" s="4" t="n">
        <v>1646</v>
      </c>
      <c r="D12644" s="4" t="n">
        <v>497.915</v>
      </c>
      <c r="E12644" s="5" t="n">
        <v>198.4</v>
      </c>
      <c r="F12644" s="3" t="inlineStr">
        <is>
          <t>연동면</t>
        </is>
      </c>
      <c r="G12644" s="3" t="inlineStr">
        <is>
          <t>송용리</t>
        </is>
      </c>
      <c r="H12644" s="3" t="inlineStr">
        <is>
          <t>단독다가구</t>
        </is>
      </c>
      <c r="I12644" s="3" t="inlineStr">
        <is>
          <t>단독</t>
        </is>
      </c>
      <c r="J12644" s="3" t="inlineStr">
        <is>
          <t>연동면</t>
        </is>
      </c>
    </row>
    <row r="12645">
      <c r="A12645" s="3" t="n">
        <v>2022</v>
      </c>
      <c r="B12645" s="4" t="n">
        <v>82000</v>
      </c>
      <c r="C12645" s="4" t="n">
        <v>638</v>
      </c>
      <c r="D12645" s="4" t="n">
        <v>192.995</v>
      </c>
      <c r="E12645" s="5" t="n">
        <v>424.9</v>
      </c>
      <c r="F12645" s="3" t="inlineStr">
        <is>
          <t>조치원읍</t>
        </is>
      </c>
      <c r="G12645" s="3" t="inlineStr">
        <is>
          <t>정리</t>
        </is>
      </c>
      <c r="H12645" s="3" t="inlineStr">
        <is>
          <t>단독다가구</t>
        </is>
      </c>
      <c r="I12645" s="3" t="inlineStr">
        <is>
          <t>단독</t>
        </is>
      </c>
      <c r="J12645" s="3" t="inlineStr">
        <is>
          <t>조치원읍</t>
        </is>
      </c>
    </row>
    <row r="12646">
      <c r="A12646" s="3" t="n">
        <v>2024</v>
      </c>
      <c r="B12646" s="4" t="n">
        <v>30228</v>
      </c>
      <c r="C12646" s="4" t="n">
        <v>561</v>
      </c>
      <c r="D12646" s="4" t="n">
        <v>169.7025</v>
      </c>
      <c r="E12646" s="5" t="n">
        <v>178.1</v>
      </c>
      <c r="F12646" s="3" t="inlineStr">
        <is>
          <t>남이면</t>
        </is>
      </c>
      <c r="G12646" s="3" t="inlineStr">
        <is>
          <t>외천리</t>
        </is>
      </c>
      <c r="H12646" s="3" t="inlineStr">
        <is>
          <t>단독다가구</t>
        </is>
      </c>
      <c r="I12646" s="3" t="inlineStr">
        <is>
          <t>단독</t>
        </is>
      </c>
      <c r="J12646" s="3" t="inlineStr">
        <is>
          <t>남이면</t>
        </is>
      </c>
    </row>
    <row r="12647">
      <c r="A12647" s="3" t="n">
        <v>2024</v>
      </c>
      <c r="B12647" s="4" t="n">
        <v>25143</v>
      </c>
      <c r="C12647" s="4" t="n">
        <v>547</v>
      </c>
      <c r="D12647" s="4" t="n">
        <v>165.4675</v>
      </c>
      <c r="E12647" s="5" t="n">
        <v>152</v>
      </c>
      <c r="F12647" s="3" t="inlineStr">
        <is>
          <t>남이면</t>
        </is>
      </c>
      <c r="G12647" s="3" t="inlineStr">
        <is>
          <t>팔봉리</t>
        </is>
      </c>
      <c r="H12647" s="3" t="inlineStr">
        <is>
          <t>단독다가구</t>
        </is>
      </c>
      <c r="I12647" s="3" t="inlineStr">
        <is>
          <t>단독</t>
        </is>
      </c>
      <c r="J12647" s="3" t="inlineStr">
        <is>
          <t>남이면</t>
        </is>
      </c>
    </row>
    <row r="12648">
      <c r="A12648" s="3" t="n">
        <v>2024</v>
      </c>
      <c r="B12648" s="4" t="n">
        <v>59080</v>
      </c>
      <c r="C12648" s="4" t="n">
        <v>1240</v>
      </c>
      <c r="D12648" s="4" t="n">
        <v>375.1</v>
      </c>
      <c r="E12648" s="5" t="n">
        <v>157.5</v>
      </c>
      <c r="F12648" s="3" t="inlineStr">
        <is>
          <t>남이면</t>
        </is>
      </c>
      <c r="G12648" s="3" t="inlineStr">
        <is>
          <t>팔봉리</t>
        </is>
      </c>
      <c r="H12648" s="3" t="inlineStr">
        <is>
          <t>단독다가구</t>
        </is>
      </c>
      <c r="I12648" s="3" t="inlineStr">
        <is>
          <t>단독</t>
        </is>
      </c>
      <c r="J12648" s="3" t="inlineStr">
        <is>
          <t>남이면</t>
        </is>
      </c>
    </row>
    <row r="12649">
      <c r="A12649" s="3" t="n">
        <v>2024</v>
      </c>
      <c r="B12649" s="4" t="n">
        <v>60000</v>
      </c>
      <c r="C12649" s="4" t="n">
        <v>1240</v>
      </c>
      <c r="D12649" s="4" t="n">
        <v>375.1</v>
      </c>
      <c r="E12649" s="5" t="n">
        <v>160</v>
      </c>
      <c r="F12649" s="3" t="inlineStr">
        <is>
          <t>남이면</t>
        </is>
      </c>
      <c r="G12649" s="3" t="inlineStr">
        <is>
          <t>팔봉리</t>
        </is>
      </c>
      <c r="H12649" s="3" t="inlineStr">
        <is>
          <t>단독다가구</t>
        </is>
      </c>
      <c r="I12649" s="3" t="inlineStr">
        <is>
          <t>단독</t>
        </is>
      </c>
      <c r="J12649" s="3" t="inlineStr">
        <is>
          <t>남이면</t>
        </is>
      </c>
    </row>
    <row r="12650">
      <c r="A12650" s="3" t="n">
        <v>2024</v>
      </c>
      <c r="B12650" s="4" t="n">
        <v>54550</v>
      </c>
      <c r="C12650" s="4" t="n">
        <v>597</v>
      </c>
      <c r="D12650" s="4" t="n">
        <v>180.5925</v>
      </c>
      <c r="E12650" s="5" t="n">
        <v>302.1</v>
      </c>
      <c r="F12650" s="3" t="inlineStr">
        <is>
          <t>남이면</t>
        </is>
      </c>
      <c r="G12650" s="3" t="inlineStr">
        <is>
          <t>석판리</t>
        </is>
      </c>
      <c r="H12650" s="3" t="inlineStr">
        <is>
          <t>단독다가구</t>
        </is>
      </c>
      <c r="I12650" s="3" t="inlineStr">
        <is>
          <t>단독</t>
        </is>
      </c>
      <c r="J12650" s="3" t="inlineStr">
        <is>
          <t>남이면</t>
        </is>
      </c>
    </row>
    <row r="12651">
      <c r="A12651" s="3" t="n">
        <v>2024</v>
      </c>
      <c r="B12651" s="4" t="n">
        <v>57000</v>
      </c>
      <c r="C12651" s="4" t="n">
        <v>597</v>
      </c>
      <c r="D12651" s="4" t="n">
        <v>180.5925</v>
      </c>
      <c r="E12651" s="5" t="n">
        <v>315.6</v>
      </c>
      <c r="F12651" s="3" t="inlineStr">
        <is>
          <t>남이면</t>
        </is>
      </c>
      <c r="G12651" s="3" t="inlineStr">
        <is>
          <t>석판리</t>
        </is>
      </c>
      <c r="H12651" s="3" t="inlineStr">
        <is>
          <t>단독다가구</t>
        </is>
      </c>
      <c r="I12651" s="3" t="inlineStr">
        <is>
          <t>단독</t>
        </is>
      </c>
      <c r="J12651" s="3" t="inlineStr">
        <is>
          <t>남이면</t>
        </is>
      </c>
    </row>
    <row r="12652">
      <c r="A12652" s="3" t="n">
        <v>2024</v>
      </c>
      <c r="B12652" s="4" t="n">
        <v>28200</v>
      </c>
      <c r="C12652" s="4" t="n">
        <v>565</v>
      </c>
      <c r="D12652" s="4" t="n">
        <v>170.9125</v>
      </c>
      <c r="E12652" s="5" t="n">
        <v>165</v>
      </c>
      <c r="F12652" s="3" t="inlineStr">
        <is>
          <t>남이면</t>
        </is>
      </c>
      <c r="G12652" s="3" t="inlineStr">
        <is>
          <t>팔봉리</t>
        </is>
      </c>
      <c r="H12652" s="3" t="inlineStr">
        <is>
          <t>단독다가구</t>
        </is>
      </c>
      <c r="I12652" s="3" t="inlineStr">
        <is>
          <t>단독</t>
        </is>
      </c>
      <c r="J12652" s="3" t="inlineStr">
        <is>
          <t>남이면</t>
        </is>
      </c>
    </row>
    <row r="12653">
      <c r="A12653" s="3" t="n">
        <v>2024</v>
      </c>
      <c r="B12653" s="4" t="n">
        <v>28200</v>
      </c>
      <c r="C12653" s="4" t="n">
        <v>797</v>
      </c>
      <c r="D12653" s="4" t="n">
        <v>241.0925</v>
      </c>
      <c r="E12653" s="5" t="n">
        <v>117</v>
      </c>
      <c r="F12653" s="3" t="inlineStr">
        <is>
          <t>남이면</t>
        </is>
      </c>
      <c r="G12653" s="3" t="inlineStr">
        <is>
          <t>팔봉리</t>
        </is>
      </c>
      <c r="H12653" s="3" t="inlineStr">
        <is>
          <t>단독다가구</t>
        </is>
      </c>
      <c r="I12653" s="3" t="inlineStr">
        <is>
          <t>단독</t>
        </is>
      </c>
      <c r="J12653" s="3" t="inlineStr">
        <is>
          <t>남이면</t>
        </is>
      </c>
    </row>
    <row r="12654">
      <c r="A12654" s="3" t="n">
        <v>2024</v>
      </c>
      <c r="B12654" s="4" t="n">
        <v>116000</v>
      </c>
      <c r="C12654" s="4" t="n">
        <v>292.7</v>
      </c>
      <c r="D12654" s="4" t="n">
        <v>88.54174999999999</v>
      </c>
      <c r="E12654" s="5" t="n">
        <v>1310.1</v>
      </c>
      <c r="F12654" s="3" t="inlineStr">
        <is>
          <t>조치원읍</t>
        </is>
      </c>
      <c r="G12654" s="3" t="inlineStr">
        <is>
          <t>침산리</t>
        </is>
      </c>
      <c r="H12654" s="3" t="inlineStr">
        <is>
          <t>단독다가구</t>
        </is>
      </c>
      <c r="I12654" s="3" t="inlineStr">
        <is>
          <t>다가구</t>
        </is>
      </c>
      <c r="J12654" s="3" t="inlineStr">
        <is>
          <t>조치원읍</t>
        </is>
      </c>
    </row>
    <row r="12655">
      <c r="A12655" s="3" t="n">
        <v>2022</v>
      </c>
      <c r="B12655" s="4" t="n">
        <v>17900</v>
      </c>
      <c r="C12655" s="4" t="n">
        <v>545</v>
      </c>
      <c r="D12655" s="4" t="n">
        <v>164.8625</v>
      </c>
      <c r="E12655" s="5" t="n">
        <v>108.6</v>
      </c>
      <c r="F12655" s="3" t="inlineStr">
        <is>
          <t>소정면</t>
        </is>
      </c>
      <c r="G12655" s="3" t="inlineStr">
        <is>
          <t>대곡리</t>
        </is>
      </c>
      <c r="H12655" s="3" t="inlineStr">
        <is>
          <t>단독다가구</t>
        </is>
      </c>
      <c r="I12655" s="3" t="inlineStr">
        <is>
          <t>단독</t>
        </is>
      </c>
      <c r="J12655" s="3" t="inlineStr">
        <is>
          <t>소정면</t>
        </is>
      </c>
    </row>
    <row r="12656">
      <c r="A12656" s="3" t="n">
        <v>2022</v>
      </c>
      <c r="B12656" s="4" t="n">
        <v>82000</v>
      </c>
      <c r="C12656" s="4" t="n">
        <v>638</v>
      </c>
      <c r="D12656" s="4" t="n">
        <v>192.995</v>
      </c>
      <c r="E12656" s="5" t="n">
        <v>424.9</v>
      </c>
      <c r="F12656" s="3" t="inlineStr">
        <is>
          <t>조치원읍</t>
        </is>
      </c>
      <c r="G12656" s="3" t="inlineStr">
        <is>
          <t>정리</t>
        </is>
      </c>
      <c r="H12656" s="3" t="inlineStr">
        <is>
          <t>단독다가구</t>
        </is>
      </c>
      <c r="I12656" s="3" t="inlineStr">
        <is>
          <t>단독</t>
        </is>
      </c>
      <c r="J12656" s="3" t="inlineStr">
        <is>
          <t>조치원읍</t>
        </is>
      </c>
    </row>
    <row r="12657">
      <c r="A12657" s="3" t="n">
        <v>2022</v>
      </c>
      <c r="B12657" s="4" t="n">
        <v>54300</v>
      </c>
      <c r="C12657" s="4" t="n">
        <v>605</v>
      </c>
      <c r="D12657" s="4" t="n">
        <v>183.0125</v>
      </c>
      <c r="E12657" s="5" t="n">
        <v>296.7</v>
      </c>
      <c r="F12657" s="3" t="inlineStr">
        <is>
          <t>금남면</t>
        </is>
      </c>
      <c r="G12657" s="3" t="inlineStr">
        <is>
          <t>박산리</t>
        </is>
      </c>
      <c r="H12657" s="3" t="inlineStr">
        <is>
          <t>단독다가구</t>
        </is>
      </c>
      <c r="I12657" s="3" t="inlineStr">
        <is>
          <t>단독</t>
        </is>
      </c>
      <c r="J12657" s="3" t="inlineStr">
        <is>
          <t>금남면</t>
        </is>
      </c>
    </row>
    <row r="12658">
      <c r="A12658" s="3" t="n">
        <v>2022</v>
      </c>
      <c r="B12658" s="4" t="n">
        <v>26550</v>
      </c>
      <c r="C12658" s="4" t="n">
        <v>269.9</v>
      </c>
      <c r="D12658" s="4" t="n">
        <v>81.64474999999999</v>
      </c>
      <c r="E12658" s="5" t="n">
        <v>325.2</v>
      </c>
      <c r="F12658" s="3" t="inlineStr">
        <is>
          <t>조치원읍</t>
        </is>
      </c>
      <c r="G12658" s="3" t="inlineStr">
        <is>
          <t>남리</t>
        </is>
      </c>
      <c r="H12658" s="3" t="inlineStr">
        <is>
          <t>단독다가구</t>
        </is>
      </c>
      <c r="I12658" s="3" t="inlineStr">
        <is>
          <t>단독</t>
        </is>
      </c>
      <c r="J12658" s="3" t="inlineStr">
        <is>
          <t>조치원읍</t>
        </is>
      </c>
    </row>
    <row r="12659">
      <c r="A12659" s="3" t="n">
        <v>2022</v>
      </c>
      <c r="B12659" s="4" t="n">
        <v>35000</v>
      </c>
      <c r="C12659" s="4" t="n">
        <v>382</v>
      </c>
      <c r="D12659" s="4" t="n">
        <v>115.555</v>
      </c>
      <c r="E12659" s="5" t="n">
        <v>302.9</v>
      </c>
      <c r="F12659" s="3" t="inlineStr">
        <is>
          <t>금남면</t>
        </is>
      </c>
      <c r="G12659" s="3" t="inlineStr">
        <is>
          <t>용담리</t>
        </is>
      </c>
      <c r="H12659" s="3" t="inlineStr">
        <is>
          <t>단독다가구</t>
        </is>
      </c>
      <c r="I12659" s="3" t="inlineStr">
        <is>
          <t>단독</t>
        </is>
      </c>
      <c r="J12659" s="3" t="inlineStr">
        <is>
          <t>금남면</t>
        </is>
      </c>
    </row>
    <row r="12660">
      <c r="A12660" s="3" t="n">
        <v>2022</v>
      </c>
      <c r="B12660" s="4" t="n">
        <v>31000</v>
      </c>
      <c r="C12660" s="4" t="n">
        <v>105</v>
      </c>
      <c r="D12660" s="4" t="n">
        <v>31.7625</v>
      </c>
      <c r="E12660" s="5" t="n">
        <v>976</v>
      </c>
      <c r="F12660" s="3" t="inlineStr">
        <is>
          <t>부강면</t>
        </is>
      </c>
      <c r="G12660" s="3" t="inlineStr">
        <is>
          <t>부강리</t>
        </is>
      </c>
      <c r="H12660" s="3" t="inlineStr">
        <is>
          <t>단독다가구</t>
        </is>
      </c>
      <c r="I12660" s="3" t="inlineStr">
        <is>
          <t>단독</t>
        </is>
      </c>
      <c r="J12660" s="3" t="inlineStr">
        <is>
          <t>부강면</t>
        </is>
      </c>
    </row>
    <row r="12661">
      <c r="A12661" s="3" t="n">
        <v>2022</v>
      </c>
      <c r="B12661" s="4" t="n">
        <v>19000</v>
      </c>
      <c r="C12661" s="4" t="n">
        <v>294</v>
      </c>
      <c r="D12661" s="4" t="n">
        <v>88.935</v>
      </c>
      <c r="E12661" s="5" t="n">
        <v>213.6</v>
      </c>
      <c r="F12661" s="3" t="inlineStr">
        <is>
          <t>장군면</t>
        </is>
      </c>
      <c r="G12661" s="3" t="inlineStr">
        <is>
          <t>평기리</t>
        </is>
      </c>
      <c r="H12661" s="3" t="inlineStr">
        <is>
          <t>단독다가구</t>
        </is>
      </c>
      <c r="I12661" s="3" t="inlineStr">
        <is>
          <t>단독</t>
        </is>
      </c>
      <c r="J12661" s="3" t="inlineStr">
        <is>
          <t>장군면</t>
        </is>
      </c>
    </row>
    <row r="12662">
      <c r="A12662" s="3" t="n">
        <v>2022</v>
      </c>
      <c r="B12662" s="4" t="n">
        <v>6000</v>
      </c>
      <c r="C12662" s="4" t="n">
        <v>99</v>
      </c>
      <c r="D12662" s="4" t="n">
        <v>29.9475</v>
      </c>
      <c r="E12662" s="5" t="n">
        <v>200.4</v>
      </c>
      <c r="F12662" s="3" t="inlineStr">
        <is>
          <t>조치원읍</t>
        </is>
      </c>
      <c r="G12662" s="3" t="inlineStr">
        <is>
          <t>평리</t>
        </is>
      </c>
      <c r="H12662" s="3" t="inlineStr">
        <is>
          <t>단독다가구</t>
        </is>
      </c>
      <c r="I12662" s="3" t="inlineStr">
        <is>
          <t>단독</t>
        </is>
      </c>
      <c r="J12662" s="3" t="inlineStr">
        <is>
          <t>조치원읍</t>
        </is>
      </c>
    </row>
    <row r="12663">
      <c r="A12663" s="3" t="n">
        <v>2022</v>
      </c>
      <c r="B12663" s="4" t="n">
        <v>27000</v>
      </c>
      <c r="C12663" s="4" t="n">
        <v>274.9</v>
      </c>
      <c r="D12663" s="4" t="n">
        <v>83.15724999999999</v>
      </c>
      <c r="E12663" s="5" t="n">
        <v>324.7</v>
      </c>
      <c r="F12663" s="3" t="inlineStr">
        <is>
          <t>조치원읍</t>
        </is>
      </c>
      <c r="G12663" s="3" t="inlineStr">
        <is>
          <t>남리</t>
        </is>
      </c>
      <c r="H12663" s="3" t="inlineStr">
        <is>
          <t>단독다가구</t>
        </is>
      </c>
      <c r="I12663" s="3" t="inlineStr">
        <is>
          <t>단독</t>
        </is>
      </c>
      <c r="J12663" s="3" t="inlineStr">
        <is>
          <t>조치원읍</t>
        </is>
      </c>
    </row>
    <row r="12664">
      <c r="A12664" s="3" t="n">
        <v>2022</v>
      </c>
      <c r="B12664" s="4" t="n">
        <v>16000</v>
      </c>
      <c r="C12664" s="4" t="n">
        <v>288</v>
      </c>
      <c r="D12664" s="4" t="n">
        <v>87.12</v>
      </c>
      <c r="E12664" s="5" t="n">
        <v>183.7</v>
      </c>
      <c r="F12664" s="3" t="inlineStr">
        <is>
          <t>부강면</t>
        </is>
      </c>
      <c r="G12664" s="3" t="inlineStr">
        <is>
          <t>갈산리</t>
        </is>
      </c>
      <c r="H12664" s="3" t="inlineStr">
        <is>
          <t>단독다가구</t>
        </is>
      </c>
      <c r="I12664" s="3" t="inlineStr">
        <is>
          <t>단독</t>
        </is>
      </c>
      <c r="J12664" s="3" t="inlineStr">
        <is>
          <t>부강면</t>
        </is>
      </c>
    </row>
    <row r="12665">
      <c r="A12665" s="3" t="n">
        <v>2022</v>
      </c>
      <c r="B12665" s="4" t="n">
        <v>30000</v>
      </c>
      <c r="C12665" s="4" t="n">
        <v>160.5</v>
      </c>
      <c r="D12665" s="4" t="n">
        <v>48.55125</v>
      </c>
      <c r="E12665" s="5" t="n">
        <v>617.9</v>
      </c>
      <c r="F12665" s="3" t="inlineStr">
        <is>
          <t>조치원읍</t>
        </is>
      </c>
      <c r="G12665" s="3" t="inlineStr">
        <is>
          <t>침산리</t>
        </is>
      </c>
      <c r="H12665" s="3" t="inlineStr">
        <is>
          <t>단독다가구</t>
        </is>
      </c>
      <c r="I12665" s="3" t="inlineStr">
        <is>
          <t>단독</t>
        </is>
      </c>
      <c r="J12665" s="3" t="inlineStr">
        <is>
          <t>조치원읍</t>
        </is>
      </c>
    </row>
    <row r="12666">
      <c r="A12666" s="3" t="n">
        <v>2022</v>
      </c>
      <c r="B12666" s="4" t="n">
        <v>100000</v>
      </c>
      <c r="C12666" s="4" t="n">
        <v>279.5</v>
      </c>
      <c r="D12666" s="4" t="n">
        <v>84.54875</v>
      </c>
      <c r="E12666" s="5" t="n">
        <v>1182.7</v>
      </c>
      <c r="F12666" s="3" t="inlineStr">
        <is>
          <t>조치원읍</t>
        </is>
      </c>
      <c r="G12666" s="3" t="inlineStr">
        <is>
          <t>침산리</t>
        </is>
      </c>
      <c r="H12666" s="3" t="inlineStr">
        <is>
          <t>단독다가구</t>
        </is>
      </c>
      <c r="I12666" s="3" t="inlineStr">
        <is>
          <t>다가구</t>
        </is>
      </c>
      <c r="J12666" s="3" t="inlineStr">
        <is>
          <t>조치원읍</t>
        </is>
      </c>
    </row>
    <row r="12667">
      <c r="A12667" s="3" t="n">
        <v>2022</v>
      </c>
      <c r="B12667" s="4" t="n">
        <v>20000</v>
      </c>
      <c r="C12667" s="4" t="n">
        <v>132</v>
      </c>
      <c r="D12667" s="4" t="n">
        <v>39.93</v>
      </c>
      <c r="E12667" s="5" t="n">
        <v>500.9</v>
      </c>
      <c r="F12667" s="3" t="inlineStr">
        <is>
          <t>조치원읍</t>
        </is>
      </c>
      <c r="G12667" s="3" t="inlineStr">
        <is>
          <t>명리</t>
        </is>
      </c>
      <c r="H12667" s="3" t="inlineStr">
        <is>
          <t>단독다가구</t>
        </is>
      </c>
      <c r="I12667" s="3" t="inlineStr">
        <is>
          <t>단독</t>
        </is>
      </c>
      <c r="J12667" s="3" t="inlineStr">
        <is>
          <t>조치원읍</t>
        </is>
      </c>
    </row>
    <row r="12668">
      <c r="A12668" s="3" t="n">
        <v>2022</v>
      </c>
      <c r="B12668" s="4" t="n">
        <v>15000</v>
      </c>
      <c r="C12668" s="4" t="n">
        <v>248</v>
      </c>
      <c r="D12668" s="4" t="n">
        <v>75.02</v>
      </c>
      <c r="E12668" s="5" t="n">
        <v>199.9</v>
      </c>
      <c r="F12668" s="3" t="inlineStr">
        <is>
          <t>장군면</t>
        </is>
      </c>
      <c r="G12668" s="3" t="inlineStr">
        <is>
          <t>금암리</t>
        </is>
      </c>
      <c r="H12668" s="3" t="inlineStr">
        <is>
          <t>단독다가구</t>
        </is>
      </c>
      <c r="I12668" s="3" t="inlineStr">
        <is>
          <t>단독</t>
        </is>
      </c>
      <c r="J12668" s="3" t="inlineStr">
        <is>
          <t>장군면</t>
        </is>
      </c>
    </row>
    <row r="12669">
      <c r="A12669" s="3" t="n">
        <v>2022</v>
      </c>
      <c r="B12669" s="4" t="n">
        <v>47000</v>
      </c>
      <c r="C12669" s="4" t="n">
        <v>780</v>
      </c>
      <c r="D12669" s="4" t="n">
        <v>235.95</v>
      </c>
      <c r="E12669" s="5" t="n">
        <v>199.2</v>
      </c>
      <c r="F12669" s="3" t="inlineStr">
        <is>
          <t>금남면</t>
        </is>
      </c>
      <c r="G12669" s="3" t="inlineStr">
        <is>
          <t>원봉리</t>
        </is>
      </c>
      <c r="H12669" s="3" t="inlineStr">
        <is>
          <t>단독다가구</t>
        </is>
      </c>
      <c r="I12669" s="3" t="inlineStr">
        <is>
          <t>단독</t>
        </is>
      </c>
      <c r="J12669" s="3" t="inlineStr">
        <is>
          <t>금남면</t>
        </is>
      </c>
    </row>
    <row r="12670">
      <c r="A12670" s="3" t="n">
        <v>2022</v>
      </c>
      <c r="B12670" s="4" t="n">
        <v>30000</v>
      </c>
      <c r="C12670" s="4" t="n">
        <v>532</v>
      </c>
      <c r="D12670" s="4" t="n">
        <v>160.93</v>
      </c>
      <c r="E12670" s="5" t="n">
        <v>186.4</v>
      </c>
      <c r="F12670" s="3" t="inlineStr">
        <is>
          <t>부강면</t>
        </is>
      </c>
      <c r="G12670" s="3" t="inlineStr">
        <is>
          <t>갈산리</t>
        </is>
      </c>
      <c r="H12670" s="3" t="inlineStr">
        <is>
          <t>단독다가구</t>
        </is>
      </c>
      <c r="I12670" s="3" t="inlineStr">
        <is>
          <t>단독</t>
        </is>
      </c>
      <c r="J12670" s="3" t="inlineStr">
        <is>
          <t>부강면</t>
        </is>
      </c>
    </row>
    <row r="12671">
      <c r="A12671" s="3" t="n">
        <v>2022</v>
      </c>
      <c r="B12671" s="4" t="n">
        <v>25000</v>
      </c>
      <c r="C12671" s="4" t="n">
        <v>56</v>
      </c>
      <c r="D12671" s="4" t="n">
        <v>16.94</v>
      </c>
      <c r="E12671" s="5" t="n">
        <v>1475.8</v>
      </c>
      <c r="F12671" s="3" t="inlineStr">
        <is>
          <t>조치원읍</t>
        </is>
      </c>
      <c r="G12671" s="3" t="inlineStr">
        <is>
          <t>정리</t>
        </is>
      </c>
      <c r="H12671" s="3" t="inlineStr">
        <is>
          <t>단독다가구</t>
        </is>
      </c>
      <c r="I12671" s="3" t="inlineStr">
        <is>
          <t>단독</t>
        </is>
      </c>
      <c r="J12671" s="3" t="inlineStr">
        <is>
          <t>조치원읍</t>
        </is>
      </c>
    </row>
    <row r="12672">
      <c r="A12672" s="3" t="n">
        <v>2022</v>
      </c>
      <c r="B12672" s="4" t="n">
        <v>39000</v>
      </c>
      <c r="C12672" s="4" t="n">
        <v>350</v>
      </c>
      <c r="D12672" s="4" t="n">
        <v>105.875</v>
      </c>
      <c r="E12672" s="5" t="n">
        <v>368.4</v>
      </c>
      <c r="F12672" s="3" t="inlineStr">
        <is>
          <t>조치원읍</t>
        </is>
      </c>
      <c r="G12672" s="3" t="inlineStr">
        <is>
          <t>평리</t>
        </is>
      </c>
      <c r="H12672" s="3" t="inlineStr">
        <is>
          <t>단독다가구</t>
        </is>
      </c>
      <c r="I12672" s="3" t="inlineStr">
        <is>
          <t>단독</t>
        </is>
      </c>
      <c r="J12672" s="3" t="inlineStr">
        <is>
          <t>조치원읍</t>
        </is>
      </c>
    </row>
    <row r="12673">
      <c r="A12673" s="3" t="n">
        <v>2022</v>
      </c>
      <c r="B12673" s="4" t="n">
        <v>17000</v>
      </c>
      <c r="C12673" s="4" t="n">
        <v>176</v>
      </c>
      <c r="D12673" s="4" t="n">
        <v>53.23999999999999</v>
      </c>
      <c r="E12673" s="5" t="n">
        <v>319.3</v>
      </c>
      <c r="F12673" s="3" t="inlineStr">
        <is>
          <t>조치원읍</t>
        </is>
      </c>
      <c r="G12673" s="3" t="inlineStr">
        <is>
          <t>평리</t>
        </is>
      </c>
      <c r="H12673" s="3" t="inlineStr">
        <is>
          <t>단독다가구</t>
        </is>
      </c>
      <c r="I12673" s="3" t="inlineStr">
        <is>
          <t>단독</t>
        </is>
      </c>
      <c r="J12673" s="3" t="inlineStr">
        <is>
          <t>조치원읍</t>
        </is>
      </c>
    </row>
    <row r="12674">
      <c r="A12674" s="3" t="n">
        <v>2022</v>
      </c>
      <c r="B12674" s="4" t="n">
        <v>70000</v>
      </c>
      <c r="C12674" s="4" t="n">
        <v>660</v>
      </c>
      <c r="D12674" s="4" t="n">
        <v>199.65</v>
      </c>
      <c r="E12674" s="5" t="n">
        <v>350.6</v>
      </c>
      <c r="F12674" s="3" t="inlineStr">
        <is>
          <t>장군면</t>
        </is>
      </c>
      <c r="G12674" s="3" t="inlineStr">
        <is>
          <t>봉안리</t>
        </is>
      </c>
      <c r="H12674" s="3" t="inlineStr">
        <is>
          <t>단독다가구</t>
        </is>
      </c>
      <c r="I12674" s="3" t="inlineStr">
        <is>
          <t>단독</t>
        </is>
      </c>
      <c r="J12674" s="3" t="inlineStr">
        <is>
          <t>장군면</t>
        </is>
      </c>
    </row>
    <row r="12675">
      <c r="A12675" s="3" t="n">
        <v>2022</v>
      </c>
      <c r="B12675" s="4" t="n">
        <v>20000</v>
      </c>
      <c r="C12675" s="4" t="n">
        <v>140.8</v>
      </c>
      <c r="D12675" s="4" t="n">
        <v>42.592</v>
      </c>
      <c r="E12675" s="5" t="n">
        <v>469.6</v>
      </c>
      <c r="F12675" s="3" t="inlineStr">
        <is>
          <t>조치원읍</t>
        </is>
      </c>
      <c r="G12675" s="3" t="inlineStr">
        <is>
          <t>교리</t>
        </is>
      </c>
      <c r="H12675" s="3" t="inlineStr">
        <is>
          <t>단독다가구</t>
        </is>
      </c>
      <c r="I12675" s="3" t="inlineStr">
        <is>
          <t>단독</t>
        </is>
      </c>
      <c r="J12675" s="3" t="inlineStr">
        <is>
          <t>조치원읍</t>
        </is>
      </c>
    </row>
    <row r="12676">
      <c r="A12676" s="3" t="n">
        <v>2022</v>
      </c>
      <c r="B12676" s="4" t="n">
        <v>20000</v>
      </c>
      <c r="C12676" s="4" t="n">
        <v>129.3</v>
      </c>
      <c r="D12676" s="4" t="n">
        <v>39.11325</v>
      </c>
      <c r="E12676" s="5" t="n">
        <v>511.3</v>
      </c>
      <c r="F12676" s="3" t="inlineStr">
        <is>
          <t>조치원읍</t>
        </is>
      </c>
      <c r="G12676" s="3" t="inlineStr">
        <is>
          <t>교리</t>
        </is>
      </c>
      <c r="H12676" s="3" t="inlineStr">
        <is>
          <t>단독다가구</t>
        </is>
      </c>
      <c r="I12676" s="3" t="inlineStr">
        <is>
          <t>단독</t>
        </is>
      </c>
      <c r="J12676" s="3" t="inlineStr">
        <is>
          <t>조치원읍</t>
        </is>
      </c>
    </row>
    <row r="12677">
      <c r="A12677" s="3" t="n">
        <v>2022</v>
      </c>
      <c r="B12677" s="4" t="n">
        <v>24000</v>
      </c>
      <c r="C12677" s="4" t="n">
        <v>250</v>
      </c>
      <c r="D12677" s="4" t="n">
        <v>75.625</v>
      </c>
      <c r="E12677" s="5" t="n">
        <v>317.4</v>
      </c>
      <c r="F12677" s="3" t="inlineStr">
        <is>
          <t>조치원읍</t>
        </is>
      </c>
      <c r="G12677" s="3" t="inlineStr">
        <is>
          <t>봉산리</t>
        </is>
      </c>
      <c r="H12677" s="3" t="inlineStr">
        <is>
          <t>단독다가구</t>
        </is>
      </c>
      <c r="I12677" s="3" t="inlineStr">
        <is>
          <t>단독</t>
        </is>
      </c>
      <c r="J12677" s="3" t="inlineStr">
        <is>
          <t>조치원읍</t>
        </is>
      </c>
    </row>
    <row r="12678">
      <c r="A12678" s="3" t="n">
        <v>2022</v>
      </c>
      <c r="B12678" s="4" t="n">
        <v>26000</v>
      </c>
      <c r="C12678" s="4" t="n">
        <v>150</v>
      </c>
      <c r="D12678" s="4" t="n">
        <v>45.375</v>
      </c>
      <c r="E12678" s="5" t="n">
        <v>573</v>
      </c>
      <c r="F12678" s="3" t="inlineStr">
        <is>
          <t>조치원읍</t>
        </is>
      </c>
      <c r="G12678" s="3" t="inlineStr">
        <is>
          <t>신안리</t>
        </is>
      </c>
      <c r="H12678" s="3" t="inlineStr">
        <is>
          <t>단독다가구</t>
        </is>
      </c>
      <c r="I12678" s="3" t="inlineStr">
        <is>
          <t>다가구</t>
        </is>
      </c>
      <c r="J12678" s="3" t="inlineStr">
        <is>
          <t>조치원읍</t>
        </is>
      </c>
    </row>
    <row r="12679">
      <c r="A12679" s="3" t="n">
        <v>2022</v>
      </c>
      <c r="B12679" s="4" t="n">
        <v>11000</v>
      </c>
      <c r="C12679" s="4" t="n">
        <v>247</v>
      </c>
      <c r="D12679" s="4" t="n">
        <v>74.7175</v>
      </c>
      <c r="E12679" s="5" t="n">
        <v>147.2</v>
      </c>
      <c r="F12679" s="3" t="inlineStr">
        <is>
          <t>장군면</t>
        </is>
      </c>
      <c r="G12679" s="3" t="inlineStr">
        <is>
          <t>금암리</t>
        </is>
      </c>
      <c r="H12679" s="3" t="inlineStr">
        <is>
          <t>단독다가구</t>
        </is>
      </c>
      <c r="I12679" s="3" t="inlineStr">
        <is>
          <t>단독</t>
        </is>
      </c>
      <c r="J12679" s="3" t="inlineStr">
        <is>
          <t>장군면</t>
        </is>
      </c>
    </row>
    <row r="12680">
      <c r="A12680" s="3" t="n">
        <v>2022</v>
      </c>
      <c r="B12680" s="4" t="n">
        <v>31500</v>
      </c>
      <c r="C12680" s="4" t="n">
        <v>166</v>
      </c>
      <c r="D12680" s="4" t="n">
        <v>50.215</v>
      </c>
      <c r="E12680" s="5" t="n">
        <v>627.3</v>
      </c>
      <c r="F12680" s="3" t="inlineStr">
        <is>
          <t>조치원읍</t>
        </is>
      </c>
      <c r="G12680" s="3" t="inlineStr">
        <is>
          <t>죽림리</t>
        </is>
      </c>
      <c r="H12680" s="3" t="inlineStr">
        <is>
          <t>단독다가구</t>
        </is>
      </c>
      <c r="I12680" s="3" t="inlineStr">
        <is>
          <t>단독</t>
        </is>
      </c>
      <c r="J12680" s="3" t="inlineStr">
        <is>
          <t>조치원읍</t>
        </is>
      </c>
    </row>
    <row r="12681">
      <c r="A12681" s="3" t="n">
        <v>2025</v>
      </c>
      <c r="B12681" s="4" t="n">
        <v>32280</v>
      </c>
      <c r="C12681" s="4" t="n">
        <v>496</v>
      </c>
      <c r="D12681" s="4" t="n">
        <v>150.04</v>
      </c>
      <c r="E12681" s="5" t="n">
        <v>215.1</v>
      </c>
      <c r="F12681" s="3" t="inlineStr">
        <is>
          <t>금남면</t>
        </is>
      </c>
      <c r="G12681" s="3" t="inlineStr">
        <is>
          <t>성강리</t>
        </is>
      </c>
      <c r="H12681" s="3" t="inlineStr">
        <is>
          <t>단독다가구</t>
        </is>
      </c>
      <c r="I12681" s="3" t="inlineStr">
        <is>
          <t>단독</t>
        </is>
      </c>
      <c r="J12681" s="3" t="inlineStr">
        <is>
          <t>금남면</t>
        </is>
      </c>
    </row>
    <row r="12682">
      <c r="A12682" s="3" t="n">
        <v>2023</v>
      </c>
      <c r="B12682" s="4" t="n">
        <v>123000</v>
      </c>
      <c r="C12682" s="4" t="n">
        <v>762</v>
      </c>
      <c r="D12682" s="4" t="n">
        <v>230.505</v>
      </c>
      <c r="E12682" s="5" t="n">
        <v>533.6</v>
      </c>
      <c r="F12682" s="3" t="inlineStr">
        <is>
          <t>장군면</t>
        </is>
      </c>
      <c r="G12682" s="3" t="inlineStr">
        <is>
          <t>금암리</t>
        </is>
      </c>
      <c r="H12682" s="3" t="inlineStr">
        <is>
          <t>단독다가구</t>
        </is>
      </c>
      <c r="I12682" s="3" t="inlineStr">
        <is>
          <t>단독</t>
        </is>
      </c>
      <c r="J12682" s="3" t="inlineStr">
        <is>
          <t>장군면</t>
        </is>
      </c>
    </row>
    <row r="12683">
      <c r="A12683" s="3" t="n">
        <v>2023</v>
      </c>
      <c r="B12683" s="4" t="n">
        <v>105000</v>
      </c>
      <c r="C12683" s="4" t="n">
        <v>252.8</v>
      </c>
      <c r="D12683" s="4" t="n">
        <v>76.47199999999999</v>
      </c>
      <c r="E12683" s="5" t="n">
        <v>1373.1</v>
      </c>
      <c r="F12683" s="3" t="inlineStr">
        <is>
          <t>조치원읍</t>
        </is>
      </c>
      <c r="G12683" s="3" t="inlineStr">
        <is>
          <t>침산리</t>
        </is>
      </c>
      <c r="H12683" s="3" t="inlineStr">
        <is>
          <t>단독다가구</t>
        </is>
      </c>
      <c r="I12683" s="3" t="inlineStr">
        <is>
          <t>다가구</t>
        </is>
      </c>
      <c r="J12683" s="3" t="inlineStr">
        <is>
          <t>조치원읍</t>
        </is>
      </c>
    </row>
    <row r="12684">
      <c r="A12684" s="3" t="n">
        <v>2023</v>
      </c>
      <c r="B12684" s="4" t="n">
        <v>35800</v>
      </c>
      <c r="C12684" s="4" t="n">
        <v>764</v>
      </c>
      <c r="D12684" s="4" t="n">
        <v>231.11</v>
      </c>
      <c r="E12684" s="5" t="n">
        <v>154.9</v>
      </c>
      <c r="F12684" s="3" t="inlineStr">
        <is>
          <t>부강면</t>
        </is>
      </c>
      <c r="G12684" s="3" t="inlineStr">
        <is>
          <t>문곡리</t>
        </is>
      </c>
      <c r="H12684" s="3" t="inlineStr">
        <is>
          <t>단독다가구</t>
        </is>
      </c>
      <c r="I12684" s="3" t="inlineStr">
        <is>
          <t>단독</t>
        </is>
      </c>
      <c r="J12684" s="3" t="inlineStr">
        <is>
          <t>부강면</t>
        </is>
      </c>
    </row>
    <row r="12685">
      <c r="A12685" s="3" t="n">
        <v>2023</v>
      </c>
      <c r="B12685" s="4" t="n">
        <v>22300</v>
      </c>
      <c r="C12685" s="4" t="n">
        <v>212</v>
      </c>
      <c r="D12685" s="4" t="n">
        <v>64.13</v>
      </c>
      <c r="E12685" s="5" t="n">
        <v>347.7</v>
      </c>
      <c r="F12685" s="3" t="inlineStr">
        <is>
          <t>조치원읍</t>
        </is>
      </c>
      <c r="G12685" s="3" t="inlineStr">
        <is>
          <t>신흥리</t>
        </is>
      </c>
      <c r="H12685" s="3" t="inlineStr">
        <is>
          <t>단독다가구</t>
        </is>
      </c>
      <c r="I12685" s="3" t="inlineStr">
        <is>
          <t>단독</t>
        </is>
      </c>
      <c r="J12685" s="3" t="inlineStr">
        <is>
          <t>조치원읍</t>
        </is>
      </c>
    </row>
    <row r="12686">
      <c r="A12686" s="3" t="n">
        <v>2023</v>
      </c>
      <c r="B12686" s="4" t="n">
        <v>10500</v>
      </c>
      <c r="C12686" s="4" t="n">
        <v>102</v>
      </c>
      <c r="D12686" s="4" t="n">
        <v>30.855</v>
      </c>
      <c r="E12686" s="5" t="n">
        <v>340.3</v>
      </c>
      <c r="F12686" s="3" t="inlineStr">
        <is>
          <t>부강면</t>
        </is>
      </c>
      <c r="G12686" s="3" t="inlineStr">
        <is>
          <t>부강리</t>
        </is>
      </c>
      <c r="H12686" s="3" t="inlineStr">
        <is>
          <t>단독다가구</t>
        </is>
      </c>
      <c r="I12686" s="3" t="inlineStr">
        <is>
          <t>단독</t>
        </is>
      </c>
      <c r="J12686" s="3" t="inlineStr">
        <is>
          <t>부강면</t>
        </is>
      </c>
    </row>
    <row r="12687">
      <c r="A12687" s="3" t="n">
        <v>2023</v>
      </c>
      <c r="B12687" s="4" t="n">
        <v>58000</v>
      </c>
      <c r="C12687" s="4" t="n">
        <v>211</v>
      </c>
      <c r="D12687" s="4" t="n">
        <v>63.8275</v>
      </c>
      <c r="E12687" s="5" t="n">
        <v>908.7</v>
      </c>
      <c r="F12687" s="3" t="inlineStr">
        <is>
          <t>금남면</t>
        </is>
      </c>
      <c r="G12687" s="3" t="inlineStr">
        <is>
          <t>용포리</t>
        </is>
      </c>
      <c r="H12687" s="3" t="inlineStr">
        <is>
          <t>단독다가구</t>
        </is>
      </c>
      <c r="I12687" s="3" t="inlineStr">
        <is>
          <t>단독</t>
        </is>
      </c>
      <c r="J12687" s="3" t="inlineStr">
        <is>
          <t>금남면</t>
        </is>
      </c>
    </row>
    <row r="12688">
      <c r="A12688" s="3" t="n">
        <v>2023</v>
      </c>
      <c r="B12688" s="4" t="n">
        <v>83000</v>
      </c>
      <c r="C12688" s="4" t="n">
        <v>285.9</v>
      </c>
      <c r="D12688" s="4" t="n">
        <v>86.48474999999999</v>
      </c>
      <c r="E12688" s="5" t="n">
        <v>959.7</v>
      </c>
      <c r="F12688" s="3" t="inlineStr">
        <is>
          <t>아름동</t>
        </is>
      </c>
      <c r="G12688" s="3" t="inlineStr"/>
      <c r="H12688" s="3" t="inlineStr">
        <is>
          <t>단독다가구</t>
        </is>
      </c>
      <c r="I12688" s="3" t="inlineStr">
        <is>
          <t>단독</t>
        </is>
      </c>
      <c r="J12688" s="3" t="inlineStr">
        <is>
          <t>아름동</t>
        </is>
      </c>
    </row>
    <row r="12689">
      <c r="A12689" s="3" t="n">
        <v>2023</v>
      </c>
      <c r="B12689" s="4" t="n">
        <v>35000</v>
      </c>
      <c r="C12689" s="4" t="n">
        <v>582</v>
      </c>
      <c r="D12689" s="4" t="n">
        <v>176.055</v>
      </c>
      <c r="E12689" s="5" t="n">
        <v>198.8</v>
      </c>
      <c r="F12689" s="3" t="inlineStr">
        <is>
          <t>전동면</t>
        </is>
      </c>
      <c r="G12689" s="3" t="inlineStr">
        <is>
          <t>보덕리</t>
        </is>
      </c>
      <c r="H12689" s="3" t="inlineStr">
        <is>
          <t>단독다가구</t>
        </is>
      </c>
      <c r="I12689" s="3" t="inlineStr">
        <is>
          <t>단독</t>
        </is>
      </c>
      <c r="J12689" s="3" t="inlineStr">
        <is>
          <t>전동면</t>
        </is>
      </c>
    </row>
    <row r="12690">
      <c r="A12690" s="3" t="n">
        <v>2023</v>
      </c>
      <c r="B12690" s="4" t="n">
        <v>115000</v>
      </c>
      <c r="C12690" s="4" t="n">
        <v>330</v>
      </c>
      <c r="D12690" s="4" t="n">
        <v>99.825</v>
      </c>
      <c r="E12690" s="5" t="n">
        <v>1152</v>
      </c>
      <c r="F12690" s="3" t="inlineStr">
        <is>
          <t>고운동</t>
        </is>
      </c>
      <c r="G12690" s="3" t="inlineStr"/>
      <c r="H12690" s="3" t="inlineStr">
        <is>
          <t>단독다가구</t>
        </is>
      </c>
      <c r="I12690" s="3" t="inlineStr">
        <is>
          <t>단독</t>
        </is>
      </c>
      <c r="J12690" s="3" t="inlineStr">
        <is>
          <t>고운동</t>
        </is>
      </c>
    </row>
    <row r="12691">
      <c r="A12691" s="3" t="n">
        <v>2023</v>
      </c>
      <c r="B12691" s="4" t="n">
        <v>95000</v>
      </c>
      <c r="C12691" s="4" t="n">
        <v>162.4</v>
      </c>
      <c r="D12691" s="4" t="n">
        <v>49.126</v>
      </c>
      <c r="E12691" s="5" t="n">
        <v>1933.8</v>
      </c>
      <c r="F12691" s="3" t="inlineStr">
        <is>
          <t>조치원읍</t>
        </is>
      </c>
      <c r="G12691" s="3" t="inlineStr">
        <is>
          <t>침산리</t>
        </is>
      </c>
      <c r="H12691" s="3" t="inlineStr">
        <is>
          <t>단독다가구</t>
        </is>
      </c>
      <c r="I12691" s="3" t="inlineStr">
        <is>
          <t>다가구</t>
        </is>
      </c>
      <c r="J12691" s="3" t="inlineStr">
        <is>
          <t>조치원읍</t>
        </is>
      </c>
    </row>
    <row r="12692">
      <c r="A12692" s="3" t="n">
        <v>2022</v>
      </c>
      <c r="B12692" s="4" t="n">
        <v>31500</v>
      </c>
      <c r="C12692" s="4" t="n">
        <v>276</v>
      </c>
      <c r="D12692" s="4" t="n">
        <v>83.48999999999999</v>
      </c>
      <c r="E12692" s="5" t="n">
        <v>377.3</v>
      </c>
      <c r="F12692" s="3" t="inlineStr">
        <is>
          <t>조치원읍</t>
        </is>
      </c>
      <c r="G12692" s="3" t="inlineStr">
        <is>
          <t>신안리</t>
        </is>
      </c>
      <c r="H12692" s="3" t="inlineStr">
        <is>
          <t>단독다가구</t>
        </is>
      </c>
      <c r="I12692" s="3" t="inlineStr">
        <is>
          <t>단독</t>
        </is>
      </c>
      <c r="J12692" s="3" t="inlineStr">
        <is>
          <t>조치원읍</t>
        </is>
      </c>
    </row>
    <row r="12693">
      <c r="A12693" s="3" t="n">
        <v>2023</v>
      </c>
      <c r="B12693" s="4" t="n">
        <v>40500</v>
      </c>
      <c r="C12693" s="4" t="n">
        <v>384</v>
      </c>
      <c r="D12693" s="4" t="n">
        <v>116.16</v>
      </c>
      <c r="E12693" s="5" t="n">
        <v>348.7</v>
      </c>
      <c r="F12693" s="3" t="inlineStr">
        <is>
          <t>장군면</t>
        </is>
      </c>
      <c r="G12693" s="3" t="inlineStr">
        <is>
          <t>금암리</t>
        </is>
      </c>
      <c r="H12693" s="3" t="inlineStr">
        <is>
          <t>단독다가구</t>
        </is>
      </c>
      <c r="I12693" s="3" t="inlineStr">
        <is>
          <t>단독</t>
        </is>
      </c>
      <c r="J12693" s="3" t="inlineStr">
        <is>
          <t>장군면</t>
        </is>
      </c>
    </row>
    <row r="12694">
      <c r="A12694" s="3" t="n">
        <v>2024</v>
      </c>
      <c r="B12694" s="4" t="n">
        <v>52000</v>
      </c>
      <c r="C12694" s="4" t="n">
        <v>635</v>
      </c>
      <c r="D12694" s="4" t="n">
        <v>192.0875</v>
      </c>
      <c r="E12694" s="5" t="n">
        <v>270.7</v>
      </c>
      <c r="F12694" s="3" t="inlineStr">
        <is>
          <t>금남면</t>
        </is>
      </c>
      <c r="G12694" s="3" t="inlineStr">
        <is>
          <t>도남리</t>
        </is>
      </c>
      <c r="H12694" s="3" t="inlineStr">
        <is>
          <t>단독다가구</t>
        </is>
      </c>
      <c r="I12694" s="3" t="inlineStr">
        <is>
          <t>단독</t>
        </is>
      </c>
      <c r="J12694" s="3" t="inlineStr">
        <is>
          <t>금남면</t>
        </is>
      </c>
    </row>
    <row r="12695">
      <c r="A12695" s="3" t="n">
        <v>2024</v>
      </c>
      <c r="B12695" s="4" t="n">
        <v>57000</v>
      </c>
      <c r="C12695" s="4" t="n">
        <v>329</v>
      </c>
      <c r="D12695" s="4" t="n">
        <v>99.52249999999999</v>
      </c>
      <c r="E12695" s="5" t="n">
        <v>572.7</v>
      </c>
      <c r="F12695" s="3" t="inlineStr">
        <is>
          <t>장군면</t>
        </is>
      </c>
      <c r="G12695" s="3" t="inlineStr">
        <is>
          <t>금암리</t>
        </is>
      </c>
      <c r="H12695" s="3" t="inlineStr">
        <is>
          <t>단독다가구</t>
        </is>
      </c>
      <c r="I12695" s="3" t="inlineStr">
        <is>
          <t>단독</t>
        </is>
      </c>
      <c r="J12695" s="3" t="inlineStr">
        <is>
          <t>장군면</t>
        </is>
      </c>
    </row>
    <row r="12696">
      <c r="A12696" s="3" t="n">
        <v>2022</v>
      </c>
      <c r="B12696" s="4" t="n">
        <v>50200</v>
      </c>
      <c r="C12696" s="4" t="n">
        <v>251</v>
      </c>
      <c r="D12696" s="4" t="n">
        <v>75.92749999999999</v>
      </c>
      <c r="E12696" s="5" t="n">
        <v>661.2</v>
      </c>
      <c r="F12696" s="3" t="inlineStr">
        <is>
          <t>남이면</t>
        </is>
      </c>
      <c r="G12696" s="3" t="inlineStr">
        <is>
          <t>양촌리</t>
        </is>
      </c>
      <c r="H12696" s="3" t="inlineStr">
        <is>
          <t>단독다가구</t>
        </is>
      </c>
      <c r="I12696" s="3" t="inlineStr">
        <is>
          <t>단독</t>
        </is>
      </c>
      <c r="J12696" s="3" t="inlineStr">
        <is>
          <t>남이면</t>
        </is>
      </c>
    </row>
    <row r="12697">
      <c r="A12697" s="3" t="n">
        <v>2022</v>
      </c>
      <c r="B12697" s="4" t="n">
        <v>54400</v>
      </c>
      <c r="C12697" s="4" t="n">
        <v>251</v>
      </c>
      <c r="D12697" s="4" t="n">
        <v>75.92749999999999</v>
      </c>
      <c r="E12697" s="5" t="n">
        <v>716.5</v>
      </c>
      <c r="F12697" s="3" t="inlineStr">
        <is>
          <t>남이면</t>
        </is>
      </c>
      <c r="G12697" s="3" t="inlineStr">
        <is>
          <t>양촌리</t>
        </is>
      </c>
      <c r="H12697" s="3" t="inlineStr">
        <is>
          <t>단독다가구</t>
        </is>
      </c>
      <c r="I12697" s="3" t="inlineStr">
        <is>
          <t>단독</t>
        </is>
      </c>
      <c r="J12697" s="3" t="inlineStr">
        <is>
          <t>남이면</t>
        </is>
      </c>
    </row>
    <row r="12698">
      <c r="A12698" s="3" t="n">
        <v>2022</v>
      </c>
      <c r="B12698" s="4" t="n">
        <v>32830</v>
      </c>
      <c r="C12698" s="4" t="n">
        <v>347</v>
      </c>
      <c r="D12698" s="4" t="n">
        <v>104.9675</v>
      </c>
      <c r="E12698" s="5" t="n">
        <v>312.8</v>
      </c>
      <c r="F12698" s="3" t="inlineStr">
        <is>
          <t>남이면</t>
        </is>
      </c>
      <c r="G12698" s="3" t="inlineStr">
        <is>
          <t>수대리</t>
        </is>
      </c>
      <c r="H12698" s="3" t="inlineStr">
        <is>
          <t>단독다가구</t>
        </is>
      </c>
      <c r="I12698" s="3" t="inlineStr">
        <is>
          <t>단독</t>
        </is>
      </c>
      <c r="J12698" s="3" t="inlineStr">
        <is>
          <t>남이면</t>
        </is>
      </c>
    </row>
    <row r="12699">
      <c r="A12699" s="3" t="n">
        <v>2022</v>
      </c>
      <c r="B12699" s="4" t="n">
        <v>34000</v>
      </c>
      <c r="C12699" s="4" t="n">
        <v>411</v>
      </c>
      <c r="D12699" s="4" t="n">
        <v>124.3275</v>
      </c>
      <c r="E12699" s="5" t="n">
        <v>273.5</v>
      </c>
      <c r="F12699" s="3" t="inlineStr">
        <is>
          <t>남이면</t>
        </is>
      </c>
      <c r="G12699" s="3" t="inlineStr">
        <is>
          <t>석판리</t>
        </is>
      </c>
      <c r="H12699" s="3" t="inlineStr">
        <is>
          <t>단독다가구</t>
        </is>
      </c>
      <c r="I12699" s="3" t="inlineStr">
        <is>
          <t>단독</t>
        </is>
      </c>
      <c r="J12699" s="3" t="inlineStr">
        <is>
          <t>남이면</t>
        </is>
      </c>
    </row>
    <row r="12700">
      <c r="A12700" s="3" t="n">
        <v>2022</v>
      </c>
      <c r="B12700" s="4" t="n">
        <v>30000</v>
      </c>
      <c r="C12700" s="4" t="n">
        <v>256</v>
      </c>
      <c r="D12700" s="4" t="n">
        <v>77.44</v>
      </c>
      <c r="E12700" s="5" t="n">
        <v>387.4</v>
      </c>
      <c r="F12700" s="3" t="inlineStr">
        <is>
          <t>현도면</t>
        </is>
      </c>
      <c r="G12700" s="3" t="inlineStr">
        <is>
          <t>하석리</t>
        </is>
      </c>
      <c r="H12700" s="3" t="inlineStr">
        <is>
          <t>단독다가구</t>
        </is>
      </c>
      <c r="I12700" s="3" t="inlineStr">
        <is>
          <t>단독</t>
        </is>
      </c>
      <c r="J12700" s="3" t="inlineStr">
        <is>
          <t>현도면</t>
        </is>
      </c>
    </row>
    <row r="12701">
      <c r="A12701" s="3" t="n">
        <v>2022</v>
      </c>
      <c r="B12701" s="4" t="n">
        <v>101142</v>
      </c>
      <c r="C12701" s="4" t="n">
        <v>261.9</v>
      </c>
      <c r="D12701" s="4" t="n">
        <v>79.22474999999999</v>
      </c>
      <c r="E12701" s="5" t="n">
        <v>1276.6</v>
      </c>
      <c r="F12701" s="3" t="inlineStr">
        <is>
          <t>남이면</t>
        </is>
      </c>
      <c r="G12701" s="3" t="inlineStr">
        <is>
          <t>가마리</t>
        </is>
      </c>
      <c r="H12701" s="3" t="inlineStr">
        <is>
          <t>단독다가구</t>
        </is>
      </c>
      <c r="I12701" s="3" t="inlineStr">
        <is>
          <t>다가구</t>
        </is>
      </c>
      <c r="J12701" s="3" t="inlineStr">
        <is>
          <t>남이면</t>
        </is>
      </c>
    </row>
    <row r="12702">
      <c r="A12702" s="3" t="n">
        <v>2022</v>
      </c>
      <c r="B12702" s="4" t="n">
        <v>32000</v>
      </c>
      <c r="C12702" s="4" t="n">
        <v>612</v>
      </c>
      <c r="D12702" s="4" t="n">
        <v>185.13</v>
      </c>
      <c r="E12702" s="5" t="n">
        <v>172.9</v>
      </c>
      <c r="F12702" s="3" t="inlineStr">
        <is>
          <t>남이면</t>
        </is>
      </c>
      <c r="G12702" s="3" t="inlineStr">
        <is>
          <t>척산리</t>
        </is>
      </c>
      <c r="H12702" s="3" t="inlineStr">
        <is>
          <t>단독다가구</t>
        </is>
      </c>
      <c r="I12702" s="3" t="inlineStr">
        <is>
          <t>단독</t>
        </is>
      </c>
      <c r="J12702" s="3" t="inlineStr">
        <is>
          <t>남이면</t>
        </is>
      </c>
    </row>
    <row r="12703">
      <c r="A12703" s="3" t="n">
        <v>2024</v>
      </c>
      <c r="B12703" s="4" t="n">
        <v>88755</v>
      </c>
      <c r="C12703" s="4" t="n">
        <v>331.6</v>
      </c>
      <c r="D12703" s="4" t="n">
        <v>100.309</v>
      </c>
      <c r="E12703" s="5" t="n">
        <v>884.8</v>
      </c>
      <c r="F12703" s="3" t="inlineStr">
        <is>
          <t>고운동</t>
        </is>
      </c>
      <c r="G12703" s="3" t="inlineStr"/>
      <c r="H12703" s="3" t="inlineStr">
        <is>
          <t>단독다가구</t>
        </is>
      </c>
      <c r="I12703" s="3" t="inlineStr">
        <is>
          <t>단독</t>
        </is>
      </c>
      <c r="J12703" s="3" t="inlineStr">
        <is>
          <t>고운동</t>
        </is>
      </c>
    </row>
    <row r="12704">
      <c r="A12704" s="3" t="n">
        <v>2024</v>
      </c>
      <c r="B12704" s="4" t="n">
        <v>6000</v>
      </c>
      <c r="C12704" s="4" t="n">
        <v>260</v>
      </c>
      <c r="D12704" s="4" t="n">
        <v>78.64999999999999</v>
      </c>
      <c r="E12704" s="5" t="n">
        <v>76.3</v>
      </c>
      <c r="F12704" s="3" t="inlineStr">
        <is>
          <t>연서면</t>
        </is>
      </c>
      <c r="G12704" s="3" t="inlineStr">
        <is>
          <t>쌍류리</t>
        </is>
      </c>
      <c r="H12704" s="3" t="inlineStr">
        <is>
          <t>단독다가구</t>
        </is>
      </c>
      <c r="I12704" s="3" t="inlineStr">
        <is>
          <t>단독</t>
        </is>
      </c>
      <c r="J12704" s="3" t="inlineStr">
        <is>
          <t>연서면</t>
        </is>
      </c>
    </row>
    <row r="12705">
      <c r="A12705" s="3" t="n">
        <v>2024</v>
      </c>
      <c r="B12705" s="4" t="n">
        <v>57500</v>
      </c>
      <c r="C12705" s="4" t="n">
        <v>237.8</v>
      </c>
      <c r="D12705" s="4" t="n">
        <v>71.9345</v>
      </c>
      <c r="E12705" s="5" t="n">
        <v>799.3</v>
      </c>
      <c r="F12705" s="3" t="inlineStr">
        <is>
          <t>조치원읍</t>
        </is>
      </c>
      <c r="G12705" s="3" t="inlineStr">
        <is>
          <t>서창리</t>
        </is>
      </c>
      <c r="H12705" s="3" t="inlineStr">
        <is>
          <t>단독다가구</t>
        </is>
      </c>
      <c r="I12705" s="3" t="inlineStr">
        <is>
          <t>다가구</t>
        </is>
      </c>
      <c r="J12705" s="3" t="inlineStr">
        <is>
          <t>조치원읍</t>
        </is>
      </c>
    </row>
    <row r="12706">
      <c r="A12706" s="3" t="n">
        <v>2024</v>
      </c>
      <c r="B12706" s="4" t="n">
        <v>25000</v>
      </c>
      <c r="C12706" s="4" t="n">
        <v>323</v>
      </c>
      <c r="D12706" s="4" t="n">
        <v>97.7075</v>
      </c>
      <c r="E12706" s="5" t="n">
        <v>255.9</v>
      </c>
      <c r="F12706" s="3" t="inlineStr">
        <is>
          <t>조치원읍</t>
        </is>
      </c>
      <c r="G12706" s="3" t="inlineStr">
        <is>
          <t>신안리</t>
        </is>
      </c>
      <c r="H12706" s="3" t="inlineStr">
        <is>
          <t>단독다가구</t>
        </is>
      </c>
      <c r="I12706" s="3" t="inlineStr">
        <is>
          <t>단독</t>
        </is>
      </c>
      <c r="J12706" s="3" t="inlineStr">
        <is>
          <t>조치원읍</t>
        </is>
      </c>
    </row>
    <row r="12707">
      <c r="A12707" s="3" t="n">
        <v>2026</v>
      </c>
      <c r="B12707" s="4" t="n">
        <v>38000</v>
      </c>
      <c r="C12707" s="4" t="n">
        <v>423</v>
      </c>
      <c r="D12707" s="4" t="n">
        <v>127.9575</v>
      </c>
      <c r="E12707" s="5" t="n">
        <v>297</v>
      </c>
      <c r="F12707" s="3" t="inlineStr">
        <is>
          <t>조치원읍</t>
        </is>
      </c>
      <c r="G12707" s="3" t="inlineStr">
        <is>
          <t>신안리</t>
        </is>
      </c>
      <c r="H12707" s="3" t="inlineStr">
        <is>
          <t>단독다가구</t>
        </is>
      </c>
      <c r="I12707" s="3" t="inlineStr">
        <is>
          <t>단독</t>
        </is>
      </c>
      <c r="J12707" s="3" t="inlineStr">
        <is>
          <t>조치원읍</t>
        </is>
      </c>
    </row>
    <row r="12708">
      <c r="A12708" s="3" t="n">
        <v>2026</v>
      </c>
      <c r="B12708" s="4" t="n">
        <v>58000</v>
      </c>
      <c r="C12708" s="4" t="n">
        <v>329</v>
      </c>
      <c r="D12708" s="4" t="n">
        <v>99.52249999999999</v>
      </c>
      <c r="E12708" s="5" t="n">
        <v>582.8</v>
      </c>
      <c r="F12708" s="3" t="inlineStr">
        <is>
          <t>장군면</t>
        </is>
      </c>
      <c r="G12708" s="3" t="inlineStr">
        <is>
          <t>도계리</t>
        </is>
      </c>
      <c r="H12708" s="3" t="inlineStr">
        <is>
          <t>단독다가구</t>
        </is>
      </c>
      <c r="I12708" s="3" t="inlineStr">
        <is>
          <t>다가구</t>
        </is>
      </c>
      <c r="J12708" s="3" t="inlineStr">
        <is>
          <t>장군면</t>
        </is>
      </c>
    </row>
    <row r="12709">
      <c r="A12709" s="3" t="n">
        <v>2026</v>
      </c>
      <c r="B12709" s="4" t="n">
        <v>86500</v>
      </c>
      <c r="C12709" s="4" t="n">
        <v>596</v>
      </c>
      <c r="D12709" s="4" t="n">
        <v>180.29</v>
      </c>
      <c r="E12709" s="5" t="n">
        <v>479.8</v>
      </c>
      <c r="F12709" s="3" t="inlineStr">
        <is>
          <t>장군면</t>
        </is>
      </c>
      <c r="G12709" s="3" t="inlineStr">
        <is>
          <t>금암리</t>
        </is>
      </c>
      <c r="H12709" s="3" t="inlineStr">
        <is>
          <t>단독다가구</t>
        </is>
      </c>
      <c r="I12709" s="3" t="inlineStr">
        <is>
          <t>단독</t>
        </is>
      </c>
      <c r="J12709" s="3" t="inlineStr">
        <is>
          <t>장군면</t>
        </is>
      </c>
    </row>
    <row r="12710">
      <c r="A12710" s="3" t="n">
        <v>2026</v>
      </c>
      <c r="B12710" s="4" t="n">
        <v>22000</v>
      </c>
      <c r="C12710" s="4" t="n">
        <v>193</v>
      </c>
      <c r="D12710" s="4" t="n">
        <v>58.3825</v>
      </c>
      <c r="E12710" s="5" t="n">
        <v>376.8</v>
      </c>
      <c r="F12710" s="3" t="inlineStr">
        <is>
          <t>조치원읍</t>
        </is>
      </c>
      <c r="G12710" s="3" t="inlineStr">
        <is>
          <t>남리</t>
        </is>
      </c>
      <c r="H12710" s="3" t="inlineStr">
        <is>
          <t>단독다가구</t>
        </is>
      </c>
      <c r="I12710" s="3" t="inlineStr">
        <is>
          <t>단독</t>
        </is>
      </c>
      <c r="J12710" s="3" t="inlineStr">
        <is>
          <t>조치원읍</t>
        </is>
      </c>
    </row>
    <row r="12711">
      <c r="A12711" s="3" t="n">
        <v>2026</v>
      </c>
      <c r="B12711" s="4" t="n">
        <v>62640</v>
      </c>
      <c r="C12711" s="4" t="n">
        <v>521</v>
      </c>
      <c r="D12711" s="4" t="n">
        <v>157.6025</v>
      </c>
      <c r="E12711" s="5" t="n">
        <v>397.5</v>
      </c>
      <c r="F12711" s="3" t="inlineStr">
        <is>
          <t>장군면</t>
        </is>
      </c>
      <c r="G12711" s="3" t="inlineStr">
        <is>
          <t>봉안리</t>
        </is>
      </c>
      <c r="H12711" s="3" t="inlineStr">
        <is>
          <t>단독다가구</t>
        </is>
      </c>
      <c r="I12711" s="3" t="inlineStr">
        <is>
          <t>다가구</t>
        </is>
      </c>
      <c r="J12711" s="3" t="inlineStr">
        <is>
          <t>장군면</t>
        </is>
      </c>
    </row>
    <row r="12712">
      <c r="A12712" s="3" t="n">
        <v>2026</v>
      </c>
      <c r="B12712" s="4" t="n">
        <v>60760</v>
      </c>
      <c r="C12712" s="4" t="n">
        <v>429</v>
      </c>
      <c r="D12712" s="4" t="n">
        <v>129.7725</v>
      </c>
      <c r="E12712" s="5" t="n">
        <v>468.2</v>
      </c>
      <c r="F12712" s="3" t="inlineStr">
        <is>
          <t>장군면</t>
        </is>
      </c>
      <c r="G12712" s="3" t="inlineStr">
        <is>
          <t>봉안리</t>
        </is>
      </c>
      <c r="H12712" s="3" t="inlineStr">
        <is>
          <t>단독다가구</t>
        </is>
      </c>
      <c r="I12712" s="3" t="inlineStr">
        <is>
          <t>다가구</t>
        </is>
      </c>
      <c r="J12712" s="3" t="inlineStr">
        <is>
          <t>장군면</t>
        </is>
      </c>
    </row>
    <row r="12713">
      <c r="A12713" s="3" t="n">
        <v>2026</v>
      </c>
      <c r="B12713" s="4" t="n">
        <v>14000</v>
      </c>
      <c r="C12713" s="4" t="n">
        <v>473</v>
      </c>
      <c r="D12713" s="4" t="n">
        <v>143.0825</v>
      </c>
      <c r="E12713" s="5" t="n">
        <v>97.8</v>
      </c>
      <c r="F12713" s="3" t="inlineStr">
        <is>
          <t>소정면</t>
        </is>
      </c>
      <c r="G12713" s="3" t="inlineStr">
        <is>
          <t>소정리</t>
        </is>
      </c>
      <c r="H12713" s="3" t="inlineStr">
        <is>
          <t>단독다가구</t>
        </is>
      </c>
      <c r="I12713" s="3" t="inlineStr">
        <is>
          <t>단독</t>
        </is>
      </c>
      <c r="J12713" s="3" t="inlineStr">
        <is>
          <t>소정면</t>
        </is>
      </c>
    </row>
    <row r="12714">
      <c r="A12714" s="3" t="n">
        <v>2026</v>
      </c>
      <c r="B12714" s="4" t="n">
        <v>20000</v>
      </c>
      <c r="C12714" s="4" t="n">
        <v>358</v>
      </c>
      <c r="D12714" s="4" t="n">
        <v>108.295</v>
      </c>
      <c r="E12714" s="5" t="n">
        <v>184.7</v>
      </c>
      <c r="F12714" s="3" t="inlineStr">
        <is>
          <t>조치원읍</t>
        </is>
      </c>
      <c r="G12714" s="3" t="inlineStr">
        <is>
          <t>서창리</t>
        </is>
      </c>
      <c r="H12714" s="3" t="inlineStr">
        <is>
          <t>단독다가구</t>
        </is>
      </c>
      <c r="I12714" s="3" t="inlineStr">
        <is>
          <t>단독</t>
        </is>
      </c>
      <c r="J12714" s="3" t="inlineStr">
        <is>
          <t>조치원읍</t>
        </is>
      </c>
    </row>
    <row r="12715">
      <c r="A12715" s="3" t="n">
        <v>2026</v>
      </c>
      <c r="B12715" s="4" t="n">
        <v>18000</v>
      </c>
      <c r="C12715" s="4" t="n">
        <v>473</v>
      </c>
      <c r="D12715" s="4" t="n">
        <v>143.0825</v>
      </c>
      <c r="E12715" s="5" t="n">
        <v>125.8</v>
      </c>
      <c r="F12715" s="3" t="inlineStr">
        <is>
          <t>전동면</t>
        </is>
      </c>
      <c r="G12715" s="3" t="inlineStr">
        <is>
          <t>노장리</t>
        </is>
      </c>
      <c r="H12715" s="3" t="inlineStr">
        <is>
          <t>단독다가구</t>
        </is>
      </c>
      <c r="I12715" s="3" t="inlineStr">
        <is>
          <t>단독</t>
        </is>
      </c>
      <c r="J12715" s="3" t="inlineStr">
        <is>
          <t>전동면</t>
        </is>
      </c>
    </row>
    <row r="12716">
      <c r="A12716" s="3" t="n">
        <v>2026</v>
      </c>
      <c r="B12716" s="4" t="n">
        <v>27000</v>
      </c>
      <c r="C12716" s="4" t="n">
        <v>599</v>
      </c>
      <c r="D12716" s="4" t="n">
        <v>181.1975</v>
      </c>
      <c r="E12716" s="5" t="n">
        <v>149</v>
      </c>
      <c r="F12716" s="3" t="inlineStr">
        <is>
          <t>전동면</t>
        </is>
      </c>
      <c r="G12716" s="3" t="inlineStr">
        <is>
          <t>송곡리</t>
        </is>
      </c>
      <c r="H12716" s="3" t="inlineStr">
        <is>
          <t>단독다가구</t>
        </is>
      </c>
      <c r="I12716" s="3" t="inlineStr">
        <is>
          <t>단독</t>
        </is>
      </c>
      <c r="J12716" s="3" t="inlineStr">
        <is>
          <t>전동면</t>
        </is>
      </c>
    </row>
    <row r="12717">
      <c r="A12717" s="3" t="n">
        <v>2026</v>
      </c>
      <c r="B12717" s="4" t="n">
        <v>12300</v>
      </c>
      <c r="C12717" s="4" t="n">
        <v>373</v>
      </c>
      <c r="D12717" s="4" t="n">
        <v>112.8325</v>
      </c>
      <c r="E12717" s="5" t="n">
        <v>109</v>
      </c>
      <c r="F12717" s="3" t="inlineStr">
        <is>
          <t>연동면</t>
        </is>
      </c>
      <c r="G12717" s="3" t="inlineStr">
        <is>
          <t>예양리</t>
        </is>
      </c>
      <c r="H12717" s="3" t="inlineStr">
        <is>
          <t>단독다가구</t>
        </is>
      </c>
      <c r="I12717" s="3" t="inlineStr">
        <is>
          <t>단독</t>
        </is>
      </c>
      <c r="J12717" s="3" t="inlineStr">
        <is>
          <t>연동면</t>
        </is>
      </c>
    </row>
    <row r="12718">
      <c r="A12718" s="3" t="n">
        <v>2026</v>
      </c>
      <c r="B12718" s="4" t="n">
        <v>45000</v>
      </c>
      <c r="C12718" s="4" t="n">
        <v>579</v>
      </c>
      <c r="D12718" s="4" t="n">
        <v>175.1475</v>
      </c>
      <c r="E12718" s="5" t="n">
        <v>256.9</v>
      </c>
      <c r="F12718" s="3" t="inlineStr">
        <is>
          <t>연서면</t>
        </is>
      </c>
      <c r="G12718" s="3" t="inlineStr">
        <is>
          <t>쌍전리</t>
        </is>
      </c>
      <c r="H12718" s="3" t="inlineStr">
        <is>
          <t>단독다가구</t>
        </is>
      </c>
      <c r="I12718" s="3" t="inlineStr">
        <is>
          <t>단독</t>
        </is>
      </c>
      <c r="J12718" s="3" t="inlineStr">
        <is>
          <t>연서면</t>
        </is>
      </c>
    </row>
    <row r="12719">
      <c r="A12719" s="3" t="n">
        <v>2026</v>
      </c>
      <c r="B12719" s="4" t="n">
        <v>51000</v>
      </c>
      <c r="C12719" s="4" t="n">
        <v>255.4</v>
      </c>
      <c r="D12719" s="4" t="n">
        <v>77.2585</v>
      </c>
      <c r="E12719" s="5" t="n">
        <v>660.1</v>
      </c>
      <c r="F12719" s="3" t="inlineStr">
        <is>
          <t>조치원읍</t>
        </is>
      </c>
      <c r="G12719" s="3" t="inlineStr">
        <is>
          <t>침산리</t>
        </is>
      </c>
      <c r="H12719" s="3" t="inlineStr">
        <is>
          <t>단독다가구</t>
        </is>
      </c>
      <c r="I12719" s="3" t="inlineStr">
        <is>
          <t>다가구</t>
        </is>
      </c>
      <c r="J12719" s="3" t="inlineStr">
        <is>
          <t>조치원읍</t>
        </is>
      </c>
    </row>
    <row r="12720">
      <c r="A12720" s="3" t="n">
        <v>2026</v>
      </c>
      <c r="B12720" s="4" t="n">
        <v>87000</v>
      </c>
      <c r="C12720" s="4" t="n">
        <v>411</v>
      </c>
      <c r="D12720" s="4" t="n">
        <v>124.3275</v>
      </c>
      <c r="E12720" s="5" t="n">
        <v>699.8</v>
      </c>
      <c r="F12720" s="3" t="inlineStr">
        <is>
          <t>조치원읍</t>
        </is>
      </c>
      <c r="G12720" s="3" t="inlineStr">
        <is>
          <t>명리</t>
        </is>
      </c>
      <c r="H12720" s="3" t="inlineStr">
        <is>
          <t>단독다가구</t>
        </is>
      </c>
      <c r="I12720" s="3" t="inlineStr">
        <is>
          <t>다가구</t>
        </is>
      </c>
      <c r="J12720" s="3" t="inlineStr">
        <is>
          <t>조치원읍</t>
        </is>
      </c>
    </row>
    <row r="12721">
      <c r="A12721" s="3" t="n">
        <v>2026</v>
      </c>
      <c r="B12721" s="4" t="n">
        <v>57000</v>
      </c>
      <c r="C12721" s="4" t="n">
        <v>243.9</v>
      </c>
      <c r="D12721" s="4" t="n">
        <v>73.77974999999999</v>
      </c>
      <c r="E12721" s="5" t="n">
        <v>772.6</v>
      </c>
      <c r="F12721" s="3" t="inlineStr">
        <is>
          <t>조치원읍</t>
        </is>
      </c>
      <c r="G12721" s="3" t="inlineStr">
        <is>
          <t>남리</t>
        </is>
      </c>
      <c r="H12721" s="3" t="inlineStr">
        <is>
          <t>단독다가구</t>
        </is>
      </c>
      <c r="I12721" s="3" t="inlineStr">
        <is>
          <t>단독</t>
        </is>
      </c>
      <c r="J12721" s="3" t="inlineStr">
        <is>
          <t>조치원읍</t>
        </is>
      </c>
    </row>
    <row r="12722">
      <c r="A12722" s="3" t="n">
        <v>2026</v>
      </c>
      <c r="B12722" s="4" t="n">
        <v>24000</v>
      </c>
      <c r="C12722" s="4" t="n">
        <v>380</v>
      </c>
      <c r="D12722" s="4" t="n">
        <v>114.95</v>
      </c>
      <c r="E12722" s="5" t="n">
        <v>208.8</v>
      </c>
      <c r="F12722" s="3" t="inlineStr">
        <is>
          <t>연서면</t>
        </is>
      </c>
      <c r="G12722" s="3" t="inlineStr">
        <is>
          <t>용암리</t>
        </is>
      </c>
      <c r="H12722" s="3" t="inlineStr">
        <is>
          <t>단독다가구</t>
        </is>
      </c>
      <c r="I12722" s="3" t="inlineStr">
        <is>
          <t>단독</t>
        </is>
      </c>
      <c r="J12722" s="3" t="inlineStr">
        <is>
          <t>연서면</t>
        </is>
      </c>
    </row>
    <row r="12723">
      <c r="A12723" s="3" t="n">
        <v>2026</v>
      </c>
      <c r="B12723" s="4" t="n">
        <v>19000</v>
      </c>
      <c r="C12723" s="4" t="n">
        <v>770</v>
      </c>
      <c r="D12723" s="4" t="n">
        <v>232.925</v>
      </c>
      <c r="E12723" s="5" t="n">
        <v>81.59999999999999</v>
      </c>
      <c r="F12723" s="3" t="inlineStr">
        <is>
          <t>소정면</t>
        </is>
      </c>
      <c r="G12723" s="3" t="inlineStr">
        <is>
          <t>대곡리</t>
        </is>
      </c>
      <c r="H12723" s="3" t="inlineStr">
        <is>
          <t>단독다가구</t>
        </is>
      </c>
      <c r="I12723" s="3" t="inlineStr">
        <is>
          <t>단독</t>
        </is>
      </c>
      <c r="J12723" s="3" t="inlineStr">
        <is>
          <t>소정면</t>
        </is>
      </c>
    </row>
    <row r="12724">
      <c r="A12724" s="3" t="n">
        <v>2026</v>
      </c>
      <c r="B12724" s="4" t="n">
        <v>9000</v>
      </c>
      <c r="C12724" s="4" t="n">
        <v>172</v>
      </c>
      <c r="D12724" s="4" t="n">
        <v>52.03</v>
      </c>
      <c r="E12724" s="5" t="n">
        <v>173</v>
      </c>
      <c r="F12724" s="3" t="inlineStr">
        <is>
          <t>부강면</t>
        </is>
      </c>
      <c r="G12724" s="3" t="inlineStr">
        <is>
          <t>갈산리</t>
        </is>
      </c>
      <c r="H12724" s="3" t="inlineStr">
        <is>
          <t>단독다가구</t>
        </is>
      </c>
      <c r="I12724" s="3" t="inlineStr">
        <is>
          <t>단독</t>
        </is>
      </c>
      <c r="J12724" s="3" t="inlineStr">
        <is>
          <t>부강면</t>
        </is>
      </c>
    </row>
    <row r="12725">
      <c r="A12725" s="3" t="n">
        <v>2026</v>
      </c>
      <c r="B12725" s="4" t="n">
        <v>50950</v>
      </c>
      <c r="C12725" s="4" t="n">
        <v>367</v>
      </c>
      <c r="D12725" s="4" t="n">
        <v>111.0175</v>
      </c>
      <c r="E12725" s="5" t="n">
        <v>458.9</v>
      </c>
      <c r="F12725" s="3" t="inlineStr">
        <is>
          <t>장군면</t>
        </is>
      </c>
      <c r="G12725" s="3" t="inlineStr">
        <is>
          <t>은용리</t>
        </is>
      </c>
      <c r="H12725" s="3" t="inlineStr">
        <is>
          <t>단독다가구</t>
        </is>
      </c>
      <c r="I12725" s="3" t="inlineStr">
        <is>
          <t>다가구</t>
        </is>
      </c>
      <c r="J12725" s="3" t="inlineStr">
        <is>
          <t>장군면</t>
        </is>
      </c>
    </row>
    <row r="12726">
      <c r="A12726" s="3" t="n">
        <v>2026</v>
      </c>
      <c r="B12726" s="4" t="n">
        <v>110000</v>
      </c>
      <c r="C12726" s="4" t="n">
        <v>300.2</v>
      </c>
      <c r="D12726" s="4" t="n">
        <v>90.81049999999999</v>
      </c>
      <c r="E12726" s="5" t="n">
        <v>1211.3</v>
      </c>
      <c r="F12726" s="3" t="inlineStr">
        <is>
          <t>조치원읍</t>
        </is>
      </c>
      <c r="G12726" s="3" t="inlineStr">
        <is>
          <t>침산리</t>
        </is>
      </c>
      <c r="H12726" s="3" t="inlineStr">
        <is>
          <t>단독다가구</t>
        </is>
      </c>
      <c r="I12726" s="3" t="inlineStr">
        <is>
          <t>다가구</t>
        </is>
      </c>
      <c r="J12726" s="3" t="inlineStr">
        <is>
          <t>조치원읍</t>
        </is>
      </c>
    </row>
    <row r="12727">
      <c r="A12727" s="3" t="n">
        <v>2026</v>
      </c>
      <c r="B12727" s="4" t="n">
        <v>55000</v>
      </c>
      <c r="C12727" s="4" t="n">
        <v>159</v>
      </c>
      <c r="D12727" s="4" t="n">
        <v>48.0975</v>
      </c>
      <c r="E12727" s="5" t="n">
        <v>1143.5</v>
      </c>
      <c r="F12727" s="3" t="inlineStr">
        <is>
          <t>부강면</t>
        </is>
      </c>
      <c r="G12727" s="3" t="inlineStr">
        <is>
          <t>부강리</t>
        </is>
      </c>
      <c r="H12727" s="3" t="inlineStr">
        <is>
          <t>단독다가구</t>
        </is>
      </c>
      <c r="I12727" s="3" t="inlineStr">
        <is>
          <t>단독</t>
        </is>
      </c>
      <c r="J12727" s="3" t="inlineStr">
        <is>
          <t>부강면</t>
        </is>
      </c>
    </row>
    <row r="12728">
      <c r="A12728" s="3" t="n">
        <v>2026</v>
      </c>
      <c r="B12728" s="4" t="n">
        <v>60000</v>
      </c>
      <c r="C12728" s="4" t="n">
        <v>521</v>
      </c>
      <c r="D12728" s="4" t="n">
        <v>157.6025</v>
      </c>
      <c r="E12728" s="5" t="n">
        <v>380.7</v>
      </c>
      <c r="F12728" s="3" t="inlineStr">
        <is>
          <t>연서면</t>
        </is>
      </c>
      <c r="G12728" s="3" t="inlineStr">
        <is>
          <t>봉암리</t>
        </is>
      </c>
      <c r="H12728" s="3" t="inlineStr">
        <is>
          <t>단독다가구</t>
        </is>
      </c>
      <c r="I12728" s="3" t="inlineStr">
        <is>
          <t>다가구</t>
        </is>
      </c>
      <c r="J12728" s="3" t="inlineStr">
        <is>
          <t>연서면</t>
        </is>
      </c>
    </row>
    <row r="12729">
      <c r="A12729" s="3" t="n">
        <v>2026</v>
      </c>
      <c r="B12729" s="4" t="n">
        <v>18000</v>
      </c>
      <c r="C12729" s="4" t="n">
        <v>619.6</v>
      </c>
      <c r="D12729" s="4" t="n">
        <v>187.429</v>
      </c>
      <c r="E12729" s="5" t="n">
        <v>96</v>
      </c>
      <c r="F12729" s="3" t="inlineStr">
        <is>
          <t>소정면</t>
        </is>
      </c>
      <c r="G12729" s="3" t="inlineStr">
        <is>
          <t>소정리</t>
        </is>
      </c>
      <c r="H12729" s="3" t="inlineStr">
        <is>
          <t>단독다가구</t>
        </is>
      </c>
      <c r="I12729" s="3" t="inlineStr">
        <is>
          <t>단독</t>
        </is>
      </c>
      <c r="J12729" s="3" t="inlineStr">
        <is>
          <t>소정면</t>
        </is>
      </c>
    </row>
    <row r="12730">
      <c r="A12730" s="3" t="n">
        <v>2026</v>
      </c>
      <c r="B12730" s="4" t="n">
        <v>12500</v>
      </c>
      <c r="C12730" s="4" t="n">
        <v>313</v>
      </c>
      <c r="D12730" s="4" t="n">
        <v>94.68249999999999</v>
      </c>
      <c r="E12730" s="5" t="n">
        <v>132</v>
      </c>
      <c r="F12730" s="3" t="inlineStr">
        <is>
          <t>소정면</t>
        </is>
      </c>
      <c r="G12730" s="3" t="inlineStr">
        <is>
          <t>소정리</t>
        </is>
      </c>
      <c r="H12730" s="3" t="inlineStr">
        <is>
          <t>단독다가구</t>
        </is>
      </c>
      <c r="I12730" s="3" t="inlineStr">
        <is>
          <t>단독</t>
        </is>
      </c>
      <c r="J12730" s="3" t="inlineStr">
        <is>
          <t>소정면</t>
        </is>
      </c>
    </row>
    <row r="12731">
      <c r="A12731" s="3" t="n">
        <v>2026</v>
      </c>
      <c r="B12731" s="4" t="n">
        <v>105000</v>
      </c>
      <c r="C12731" s="4" t="n">
        <v>269</v>
      </c>
      <c r="D12731" s="4" t="n">
        <v>81.3725</v>
      </c>
      <c r="E12731" s="5" t="n">
        <v>1290.4</v>
      </c>
      <c r="F12731" s="3" t="inlineStr">
        <is>
          <t>부강면</t>
        </is>
      </c>
      <c r="G12731" s="3" t="inlineStr">
        <is>
          <t>부강리</t>
        </is>
      </c>
      <c r="H12731" s="3" t="inlineStr">
        <is>
          <t>단독다가구</t>
        </is>
      </c>
      <c r="I12731" s="3" t="inlineStr">
        <is>
          <t>다가구</t>
        </is>
      </c>
      <c r="J12731" s="3" t="inlineStr">
        <is>
          <t>부강면</t>
        </is>
      </c>
    </row>
    <row r="12732">
      <c r="A12732" s="3" t="n">
        <v>2026</v>
      </c>
      <c r="B12732" s="4" t="n">
        <v>21000</v>
      </c>
      <c r="C12732" s="4" t="n">
        <v>650</v>
      </c>
      <c r="D12732" s="4" t="n">
        <v>196.625</v>
      </c>
      <c r="E12732" s="5" t="n">
        <v>106.8</v>
      </c>
      <c r="F12732" s="3" t="inlineStr">
        <is>
          <t>장군면</t>
        </is>
      </c>
      <c r="G12732" s="3" t="inlineStr">
        <is>
          <t>대교리</t>
        </is>
      </c>
      <c r="H12732" s="3" t="inlineStr">
        <is>
          <t>단독다가구</t>
        </is>
      </c>
      <c r="I12732" s="3" t="inlineStr">
        <is>
          <t>단독</t>
        </is>
      </c>
      <c r="J12732" s="3" t="inlineStr">
        <is>
          <t>장군면</t>
        </is>
      </c>
    </row>
    <row r="12733">
      <c r="A12733" s="3" t="n">
        <v>2026</v>
      </c>
      <c r="B12733" s="4" t="n">
        <v>100000</v>
      </c>
      <c r="C12733" s="4" t="n">
        <v>407.8</v>
      </c>
      <c r="D12733" s="4" t="n">
        <v>123.3595</v>
      </c>
      <c r="E12733" s="5" t="n">
        <v>810.6</v>
      </c>
      <c r="F12733" s="3" t="inlineStr">
        <is>
          <t>조치원읍</t>
        </is>
      </c>
      <c r="G12733" s="3" t="inlineStr">
        <is>
          <t>남리</t>
        </is>
      </c>
      <c r="H12733" s="3" t="inlineStr">
        <is>
          <t>단독다가구</t>
        </is>
      </c>
      <c r="I12733" s="3" t="inlineStr">
        <is>
          <t>다가구</t>
        </is>
      </c>
      <c r="J12733" s="3" t="inlineStr">
        <is>
          <t>조치원읍</t>
        </is>
      </c>
    </row>
    <row r="12734">
      <c r="A12734" s="3" t="n">
        <v>2026</v>
      </c>
      <c r="B12734" s="4" t="n">
        <v>20000</v>
      </c>
      <c r="C12734" s="4" t="n">
        <v>184</v>
      </c>
      <c r="D12734" s="4" t="n">
        <v>55.66</v>
      </c>
      <c r="E12734" s="5" t="n">
        <v>359.3</v>
      </c>
      <c r="F12734" s="3" t="inlineStr">
        <is>
          <t>부강면</t>
        </is>
      </c>
      <c r="G12734" s="3" t="inlineStr">
        <is>
          <t>부강리</t>
        </is>
      </c>
      <c r="H12734" s="3" t="inlineStr">
        <is>
          <t>단독다가구</t>
        </is>
      </c>
      <c r="I12734" s="3" t="inlineStr">
        <is>
          <t>단독</t>
        </is>
      </c>
      <c r="J12734" s="3" t="inlineStr">
        <is>
          <t>부강면</t>
        </is>
      </c>
    </row>
    <row r="12735">
      <c r="A12735" s="3" t="n">
        <v>2026</v>
      </c>
      <c r="B12735" s="4" t="n">
        <v>4300</v>
      </c>
      <c r="C12735" s="4" t="n">
        <v>93</v>
      </c>
      <c r="D12735" s="4" t="n">
        <v>28.1325</v>
      </c>
      <c r="E12735" s="5" t="n">
        <v>152.8</v>
      </c>
      <c r="F12735" s="3" t="inlineStr">
        <is>
          <t>조치원읍</t>
        </is>
      </c>
      <c r="G12735" s="3" t="inlineStr">
        <is>
          <t>평리</t>
        </is>
      </c>
      <c r="H12735" s="3" t="inlineStr">
        <is>
          <t>단독다가구</t>
        </is>
      </c>
      <c r="I12735" s="3" t="inlineStr">
        <is>
          <t>단독</t>
        </is>
      </c>
      <c r="J12735" s="3" t="inlineStr">
        <is>
          <t>조치원읍</t>
        </is>
      </c>
    </row>
    <row r="12736">
      <c r="A12736" s="3" t="n">
        <v>2026</v>
      </c>
      <c r="B12736" s="4" t="n">
        <v>33300</v>
      </c>
      <c r="C12736" s="4" t="n">
        <v>533</v>
      </c>
      <c r="D12736" s="4" t="n">
        <v>161.2325</v>
      </c>
      <c r="E12736" s="5" t="n">
        <v>206.5</v>
      </c>
      <c r="F12736" s="3" t="inlineStr">
        <is>
          <t>장군면</t>
        </is>
      </c>
      <c r="G12736" s="3" t="inlineStr">
        <is>
          <t>송문리</t>
        </is>
      </c>
      <c r="H12736" s="3" t="inlineStr">
        <is>
          <t>단독다가구</t>
        </is>
      </c>
      <c r="I12736" s="3" t="inlineStr">
        <is>
          <t>단독</t>
        </is>
      </c>
      <c r="J12736" s="3" t="inlineStr">
        <is>
          <t>장군면</t>
        </is>
      </c>
    </row>
    <row r="12737">
      <c r="A12737" s="3" t="n">
        <v>2026</v>
      </c>
      <c r="B12737" s="4" t="n">
        <v>138500</v>
      </c>
      <c r="C12737" s="4" t="n">
        <v>346.3</v>
      </c>
      <c r="D12737" s="4" t="n">
        <v>104.75575</v>
      </c>
      <c r="E12737" s="5" t="n">
        <v>1322.1</v>
      </c>
      <c r="F12737" s="3" t="inlineStr">
        <is>
          <t>조치원읍</t>
        </is>
      </c>
      <c r="G12737" s="3" t="inlineStr">
        <is>
          <t>남리</t>
        </is>
      </c>
      <c r="H12737" s="3" t="inlineStr">
        <is>
          <t>단독다가구</t>
        </is>
      </c>
      <c r="I12737" s="3" t="inlineStr">
        <is>
          <t>다가구</t>
        </is>
      </c>
      <c r="J12737" s="3" t="inlineStr">
        <is>
          <t>조치원읍</t>
        </is>
      </c>
    </row>
    <row r="12738">
      <c r="A12738" s="3" t="n">
        <v>2022</v>
      </c>
      <c r="B12738" s="4" t="n">
        <v>22000</v>
      </c>
      <c r="C12738" s="4" t="n">
        <v>123</v>
      </c>
      <c r="D12738" s="4" t="n">
        <v>37.2075</v>
      </c>
      <c r="E12738" s="5" t="n">
        <v>591.3</v>
      </c>
      <c r="F12738" s="3" t="inlineStr">
        <is>
          <t>조치원읍</t>
        </is>
      </c>
      <c r="G12738" s="3" t="inlineStr">
        <is>
          <t>상리</t>
        </is>
      </c>
      <c r="H12738" s="3" t="inlineStr">
        <is>
          <t>단독다가구</t>
        </is>
      </c>
      <c r="I12738" s="3" t="inlineStr">
        <is>
          <t>단독</t>
        </is>
      </c>
      <c r="J12738" s="3" t="inlineStr">
        <is>
          <t>조치원읍</t>
        </is>
      </c>
    </row>
    <row r="12739">
      <c r="A12739" s="3" t="n">
        <v>2022</v>
      </c>
      <c r="B12739" s="4" t="n">
        <v>20000</v>
      </c>
      <c r="C12739" s="4" t="n">
        <v>193</v>
      </c>
      <c r="D12739" s="4" t="n">
        <v>58.3825</v>
      </c>
      <c r="E12739" s="5" t="n">
        <v>342.6</v>
      </c>
      <c r="F12739" s="3" t="inlineStr">
        <is>
          <t>조치원읍</t>
        </is>
      </c>
      <c r="G12739" s="3" t="inlineStr">
        <is>
          <t>남리</t>
        </is>
      </c>
      <c r="H12739" s="3" t="inlineStr">
        <is>
          <t>단독다가구</t>
        </is>
      </c>
      <c r="I12739" s="3" t="inlineStr">
        <is>
          <t>단독</t>
        </is>
      </c>
      <c r="J12739" s="3" t="inlineStr">
        <is>
          <t>조치원읍</t>
        </is>
      </c>
    </row>
    <row r="12740">
      <c r="A12740" s="3" t="n">
        <v>2022</v>
      </c>
      <c r="B12740" s="4" t="n">
        <v>50000</v>
      </c>
      <c r="C12740" s="4" t="n">
        <v>171</v>
      </c>
      <c r="D12740" s="4" t="n">
        <v>51.7275</v>
      </c>
      <c r="E12740" s="5" t="n">
        <v>966.6</v>
      </c>
      <c r="F12740" s="3" t="inlineStr">
        <is>
          <t>연기면</t>
        </is>
      </c>
      <c r="G12740" s="3" t="inlineStr">
        <is>
          <t>연기리</t>
        </is>
      </c>
      <c r="H12740" s="3" t="inlineStr">
        <is>
          <t>단독다가구</t>
        </is>
      </c>
      <c r="I12740" s="3" t="inlineStr">
        <is>
          <t>단독</t>
        </is>
      </c>
      <c r="J12740" s="3" t="inlineStr">
        <is>
          <t>연기면</t>
        </is>
      </c>
    </row>
    <row r="12741">
      <c r="A12741" s="3" t="n">
        <v>2022</v>
      </c>
      <c r="B12741" s="4" t="n">
        <v>39000</v>
      </c>
      <c r="C12741" s="4" t="n">
        <v>190</v>
      </c>
      <c r="D12741" s="4" t="n">
        <v>57.475</v>
      </c>
      <c r="E12741" s="5" t="n">
        <v>678.6</v>
      </c>
      <c r="F12741" s="3" t="inlineStr">
        <is>
          <t>장군면</t>
        </is>
      </c>
      <c r="G12741" s="3" t="inlineStr">
        <is>
          <t>대교리</t>
        </is>
      </c>
      <c r="H12741" s="3" t="inlineStr">
        <is>
          <t>단독다가구</t>
        </is>
      </c>
      <c r="I12741" s="3" t="inlineStr">
        <is>
          <t>단독</t>
        </is>
      </c>
      <c r="J12741" s="3" t="inlineStr">
        <is>
          <t>장군면</t>
        </is>
      </c>
    </row>
    <row r="12742">
      <c r="A12742" s="3" t="n">
        <v>2022</v>
      </c>
      <c r="B12742" s="4" t="n">
        <v>50000</v>
      </c>
      <c r="C12742" s="4" t="n">
        <v>827</v>
      </c>
      <c r="D12742" s="4" t="n">
        <v>250.1675</v>
      </c>
      <c r="E12742" s="5" t="n">
        <v>199.9</v>
      </c>
      <c r="F12742" s="3" t="inlineStr">
        <is>
          <t>연서면</t>
        </is>
      </c>
      <c r="G12742" s="3" t="inlineStr">
        <is>
          <t>와촌리</t>
        </is>
      </c>
      <c r="H12742" s="3" t="inlineStr">
        <is>
          <t>단독다가구</t>
        </is>
      </c>
      <c r="I12742" s="3" t="inlineStr">
        <is>
          <t>단독</t>
        </is>
      </c>
      <c r="J12742" s="3" t="inlineStr">
        <is>
          <t>연서면</t>
        </is>
      </c>
    </row>
    <row r="12743">
      <c r="A12743" s="3" t="n">
        <v>2022</v>
      </c>
      <c r="B12743" s="4" t="n">
        <v>13500</v>
      </c>
      <c r="C12743" s="4" t="n">
        <v>109</v>
      </c>
      <c r="D12743" s="4" t="n">
        <v>32.9725</v>
      </c>
      <c r="E12743" s="5" t="n">
        <v>409.4</v>
      </c>
      <c r="F12743" s="3" t="inlineStr">
        <is>
          <t>조치원읍</t>
        </is>
      </c>
      <c r="G12743" s="3" t="inlineStr">
        <is>
          <t>신흥리</t>
        </is>
      </c>
      <c r="H12743" s="3" t="inlineStr">
        <is>
          <t>단독다가구</t>
        </is>
      </c>
      <c r="I12743" s="3" t="inlineStr">
        <is>
          <t>단독</t>
        </is>
      </c>
      <c r="J12743" s="3" t="inlineStr">
        <is>
          <t>조치원읍</t>
        </is>
      </c>
    </row>
    <row r="12744">
      <c r="A12744" s="3" t="n">
        <v>2022</v>
      </c>
      <c r="B12744" s="4" t="n">
        <v>20529</v>
      </c>
      <c r="C12744" s="4" t="n">
        <v>184</v>
      </c>
      <c r="D12744" s="4" t="n">
        <v>55.66</v>
      </c>
      <c r="E12744" s="5" t="n">
        <v>368.8</v>
      </c>
      <c r="F12744" s="3" t="inlineStr">
        <is>
          <t>장군면</t>
        </is>
      </c>
      <c r="G12744" s="3" t="inlineStr">
        <is>
          <t>대교리</t>
        </is>
      </c>
      <c r="H12744" s="3" t="inlineStr">
        <is>
          <t>단독다가구</t>
        </is>
      </c>
      <c r="I12744" s="3" t="inlineStr">
        <is>
          <t>단독</t>
        </is>
      </c>
      <c r="J12744" s="3" t="inlineStr">
        <is>
          <t>장군면</t>
        </is>
      </c>
    </row>
    <row r="12745">
      <c r="A12745" s="3" t="n">
        <v>2022</v>
      </c>
      <c r="B12745" s="4" t="n">
        <v>32280</v>
      </c>
      <c r="C12745" s="4" t="n">
        <v>79</v>
      </c>
      <c r="D12745" s="4" t="n">
        <v>23.8975</v>
      </c>
      <c r="E12745" s="5" t="n">
        <v>1350.8</v>
      </c>
      <c r="F12745" s="3" t="inlineStr">
        <is>
          <t>조치원읍</t>
        </is>
      </c>
      <c r="G12745" s="3" t="inlineStr">
        <is>
          <t>상리</t>
        </is>
      </c>
      <c r="H12745" s="3" t="inlineStr">
        <is>
          <t>단독다가구</t>
        </is>
      </c>
      <c r="I12745" s="3" t="inlineStr">
        <is>
          <t>단독</t>
        </is>
      </c>
      <c r="J12745" s="3" t="inlineStr">
        <is>
          <t>조치원읍</t>
        </is>
      </c>
    </row>
    <row r="12746">
      <c r="A12746" s="3" t="n">
        <v>2022</v>
      </c>
      <c r="B12746" s="4" t="n">
        <v>87600</v>
      </c>
      <c r="C12746" s="4" t="n">
        <v>300</v>
      </c>
      <c r="D12746" s="4" t="n">
        <v>90.75</v>
      </c>
      <c r="E12746" s="5" t="n">
        <v>965.3</v>
      </c>
      <c r="F12746" s="3" t="inlineStr">
        <is>
          <t>금남면</t>
        </is>
      </c>
      <c r="G12746" s="3" t="inlineStr">
        <is>
          <t>용포리</t>
        </is>
      </c>
      <c r="H12746" s="3" t="inlineStr">
        <is>
          <t>단독다가구</t>
        </is>
      </c>
      <c r="I12746" s="3" t="inlineStr">
        <is>
          <t>다가구</t>
        </is>
      </c>
      <c r="J12746" s="3" t="inlineStr">
        <is>
          <t>금남면</t>
        </is>
      </c>
    </row>
    <row r="12747">
      <c r="A12747" s="3" t="n">
        <v>2022</v>
      </c>
      <c r="B12747" s="4" t="n">
        <v>60000</v>
      </c>
      <c r="C12747" s="4" t="n">
        <v>173</v>
      </c>
      <c r="D12747" s="4" t="n">
        <v>52.3325</v>
      </c>
      <c r="E12747" s="5" t="n">
        <v>1146.5</v>
      </c>
      <c r="F12747" s="3" t="inlineStr">
        <is>
          <t>조치원읍</t>
        </is>
      </c>
      <c r="G12747" s="3" t="inlineStr">
        <is>
          <t>신안리</t>
        </is>
      </c>
      <c r="H12747" s="3" t="inlineStr">
        <is>
          <t>단독다가구</t>
        </is>
      </c>
      <c r="I12747" s="3" t="inlineStr">
        <is>
          <t>다가구</t>
        </is>
      </c>
      <c r="J12747" s="3" t="inlineStr">
        <is>
          <t>조치원읍</t>
        </is>
      </c>
    </row>
    <row r="12748">
      <c r="A12748" s="3" t="n">
        <v>2022</v>
      </c>
      <c r="B12748" s="4" t="n">
        <v>70000</v>
      </c>
      <c r="C12748" s="4" t="n">
        <v>289.7014</v>
      </c>
      <c r="D12748" s="4" t="n">
        <v>87.63467349999999</v>
      </c>
      <c r="E12748" s="5" t="n">
        <v>798.8</v>
      </c>
      <c r="F12748" s="3" t="inlineStr">
        <is>
          <t>고운동</t>
        </is>
      </c>
      <c r="G12748" s="3" t="inlineStr"/>
      <c r="H12748" s="3" t="inlineStr">
        <is>
          <t>단독다가구</t>
        </is>
      </c>
      <c r="I12748" s="3" t="inlineStr">
        <is>
          <t>단독</t>
        </is>
      </c>
      <c r="J12748" s="3" t="inlineStr">
        <is>
          <t>고운동</t>
        </is>
      </c>
    </row>
    <row r="12749">
      <c r="A12749" s="3" t="n">
        <v>2022</v>
      </c>
      <c r="B12749" s="4" t="n">
        <v>22000</v>
      </c>
      <c r="C12749" s="4" t="n">
        <v>298</v>
      </c>
      <c r="D12749" s="4" t="n">
        <v>90.145</v>
      </c>
      <c r="E12749" s="5" t="n">
        <v>244.1</v>
      </c>
      <c r="F12749" s="3" t="inlineStr">
        <is>
          <t>부강면</t>
        </is>
      </c>
      <c r="G12749" s="3" t="inlineStr">
        <is>
          <t>문곡리</t>
        </is>
      </c>
      <c r="H12749" s="3" t="inlineStr">
        <is>
          <t>단독다가구</t>
        </is>
      </c>
      <c r="I12749" s="3" t="inlineStr">
        <is>
          <t>단독</t>
        </is>
      </c>
      <c r="J12749" s="3" t="inlineStr">
        <is>
          <t>부강면</t>
        </is>
      </c>
    </row>
    <row r="12750">
      <c r="A12750" s="3" t="n">
        <v>2022</v>
      </c>
      <c r="B12750" s="4" t="n">
        <v>8800</v>
      </c>
      <c r="C12750" s="4" t="n">
        <v>205</v>
      </c>
      <c r="D12750" s="4" t="n">
        <v>62.0125</v>
      </c>
      <c r="E12750" s="5" t="n">
        <v>141.9</v>
      </c>
      <c r="F12750" s="3" t="inlineStr">
        <is>
          <t>연서면</t>
        </is>
      </c>
      <c r="G12750" s="3" t="inlineStr">
        <is>
          <t>신대리</t>
        </is>
      </c>
      <c r="H12750" s="3" t="inlineStr">
        <is>
          <t>단독다가구</t>
        </is>
      </c>
      <c r="I12750" s="3" t="inlineStr">
        <is>
          <t>단독</t>
        </is>
      </c>
      <c r="J12750" s="3" t="inlineStr">
        <is>
          <t>연서면</t>
        </is>
      </c>
    </row>
    <row r="12751">
      <c r="A12751" s="3" t="n">
        <v>2022</v>
      </c>
      <c r="B12751" s="4" t="n">
        <v>57671</v>
      </c>
      <c r="C12751" s="4" t="n">
        <v>393</v>
      </c>
      <c r="D12751" s="4" t="n">
        <v>118.8825</v>
      </c>
      <c r="E12751" s="5" t="n">
        <v>485.1</v>
      </c>
      <c r="F12751" s="3" t="inlineStr">
        <is>
          <t>연서면</t>
        </is>
      </c>
      <c r="G12751" s="3" t="inlineStr">
        <is>
          <t>봉암리</t>
        </is>
      </c>
      <c r="H12751" s="3" t="inlineStr">
        <is>
          <t>단독다가구</t>
        </is>
      </c>
      <c r="I12751" s="3" t="inlineStr">
        <is>
          <t>다가구</t>
        </is>
      </c>
      <c r="J12751" s="3" t="inlineStr">
        <is>
          <t>연서면</t>
        </is>
      </c>
    </row>
    <row r="12752">
      <c r="A12752" s="3" t="n">
        <v>2022</v>
      </c>
      <c r="B12752" s="4" t="n">
        <v>11000</v>
      </c>
      <c r="C12752" s="4" t="n">
        <v>354</v>
      </c>
      <c r="D12752" s="4" t="n">
        <v>107.085</v>
      </c>
      <c r="E12752" s="5" t="n">
        <v>102.7</v>
      </c>
      <c r="F12752" s="3" t="inlineStr">
        <is>
          <t>전동면</t>
        </is>
      </c>
      <c r="G12752" s="3" t="inlineStr">
        <is>
          <t>송정리</t>
        </is>
      </c>
      <c r="H12752" s="3" t="inlineStr">
        <is>
          <t>단독다가구</t>
        </is>
      </c>
      <c r="I12752" s="3" t="inlineStr">
        <is>
          <t>단독</t>
        </is>
      </c>
      <c r="J12752" s="3" t="inlineStr">
        <is>
          <t>전동면</t>
        </is>
      </c>
    </row>
    <row r="12753">
      <c r="A12753" s="3" t="n">
        <v>2022</v>
      </c>
      <c r="B12753" s="4" t="n">
        <v>34000</v>
      </c>
      <c r="C12753" s="4" t="n">
        <v>476</v>
      </c>
      <c r="D12753" s="4" t="n">
        <v>143.99</v>
      </c>
      <c r="E12753" s="5" t="n">
        <v>236.1</v>
      </c>
      <c r="F12753" s="3" t="inlineStr">
        <is>
          <t>장군면</t>
        </is>
      </c>
      <c r="G12753" s="3" t="inlineStr">
        <is>
          <t>송문리</t>
        </is>
      </c>
      <c r="H12753" s="3" t="inlineStr">
        <is>
          <t>단독다가구</t>
        </is>
      </c>
      <c r="I12753" s="3" t="inlineStr">
        <is>
          <t>단독</t>
        </is>
      </c>
      <c r="J12753" s="3" t="inlineStr">
        <is>
          <t>장군면</t>
        </is>
      </c>
    </row>
    <row r="12754">
      <c r="A12754" s="3" t="n">
        <v>2022</v>
      </c>
      <c r="B12754" s="4" t="n">
        <v>65800</v>
      </c>
      <c r="C12754" s="4" t="n">
        <v>304</v>
      </c>
      <c r="D12754" s="4" t="n">
        <v>91.95999999999999</v>
      </c>
      <c r="E12754" s="5" t="n">
        <v>715.5</v>
      </c>
      <c r="F12754" s="3" t="inlineStr">
        <is>
          <t>장군면</t>
        </is>
      </c>
      <c r="G12754" s="3" t="inlineStr">
        <is>
          <t>대교리</t>
        </is>
      </c>
      <c r="H12754" s="3" t="inlineStr">
        <is>
          <t>단독다가구</t>
        </is>
      </c>
      <c r="I12754" s="3" t="inlineStr">
        <is>
          <t>단독</t>
        </is>
      </c>
      <c r="J12754" s="3" t="inlineStr">
        <is>
          <t>장군면</t>
        </is>
      </c>
    </row>
    <row r="12755">
      <c r="A12755" s="3" t="n">
        <v>2024</v>
      </c>
      <c r="B12755" s="4" t="n">
        <v>43500</v>
      </c>
      <c r="C12755" s="4" t="n">
        <v>437</v>
      </c>
      <c r="D12755" s="4" t="n">
        <v>132.1925</v>
      </c>
      <c r="E12755" s="5" t="n">
        <v>329.1</v>
      </c>
      <c r="F12755" s="3" t="inlineStr">
        <is>
          <t>금남면</t>
        </is>
      </c>
      <c r="G12755" s="3" t="inlineStr">
        <is>
          <t>용담리</t>
        </is>
      </c>
      <c r="H12755" s="3" t="inlineStr">
        <is>
          <t>단독다가구</t>
        </is>
      </c>
      <c r="I12755" s="3" t="inlineStr">
        <is>
          <t>단독</t>
        </is>
      </c>
      <c r="J12755" s="3" t="inlineStr">
        <is>
          <t>금남면</t>
        </is>
      </c>
    </row>
    <row r="12756">
      <c r="A12756" s="3" t="n">
        <v>2024</v>
      </c>
      <c r="B12756" s="4" t="n">
        <v>21000</v>
      </c>
      <c r="C12756" s="4" t="n">
        <v>655</v>
      </c>
      <c r="D12756" s="4" t="n">
        <v>198.1375</v>
      </c>
      <c r="E12756" s="5" t="n">
        <v>106</v>
      </c>
      <c r="F12756" s="3" t="inlineStr">
        <is>
          <t>전의면</t>
        </is>
      </c>
      <c r="G12756" s="3" t="inlineStr">
        <is>
          <t>관정리</t>
        </is>
      </c>
      <c r="H12756" s="3" t="inlineStr">
        <is>
          <t>단독다가구</t>
        </is>
      </c>
      <c r="I12756" s="3" t="inlineStr">
        <is>
          <t>단독</t>
        </is>
      </c>
      <c r="J12756" s="3" t="inlineStr">
        <is>
          <t>전의면</t>
        </is>
      </c>
    </row>
    <row r="12757">
      <c r="A12757" s="3" t="n">
        <v>2024</v>
      </c>
      <c r="B12757" s="4" t="n">
        <v>29880</v>
      </c>
      <c r="C12757" s="4" t="n">
        <v>142</v>
      </c>
      <c r="D12757" s="4" t="n">
        <v>42.955</v>
      </c>
      <c r="E12757" s="5" t="n">
        <v>695.6</v>
      </c>
      <c r="F12757" s="3" t="inlineStr">
        <is>
          <t>조치원읍</t>
        </is>
      </c>
      <c r="G12757" s="3" t="inlineStr">
        <is>
          <t>명리</t>
        </is>
      </c>
      <c r="H12757" s="3" t="inlineStr">
        <is>
          <t>단독다가구</t>
        </is>
      </c>
      <c r="I12757" s="3" t="inlineStr">
        <is>
          <t>단독</t>
        </is>
      </c>
      <c r="J12757" s="3" t="inlineStr">
        <is>
          <t>조치원읍</t>
        </is>
      </c>
    </row>
    <row r="12758">
      <c r="A12758" s="3" t="n">
        <v>2024</v>
      </c>
      <c r="B12758" s="4" t="n">
        <v>15300</v>
      </c>
      <c r="C12758" s="4" t="n">
        <v>134.9</v>
      </c>
      <c r="D12758" s="4" t="n">
        <v>40.80725</v>
      </c>
      <c r="E12758" s="5" t="n">
        <v>374.9</v>
      </c>
      <c r="F12758" s="3" t="inlineStr">
        <is>
          <t>조치원읍</t>
        </is>
      </c>
      <c r="G12758" s="3" t="inlineStr">
        <is>
          <t>남리</t>
        </is>
      </c>
      <c r="H12758" s="3" t="inlineStr">
        <is>
          <t>단독다가구</t>
        </is>
      </c>
      <c r="I12758" s="3" t="inlineStr">
        <is>
          <t>단독</t>
        </is>
      </c>
      <c r="J12758" s="3" t="inlineStr">
        <is>
          <t>조치원읍</t>
        </is>
      </c>
    </row>
    <row r="12759">
      <c r="A12759" s="3" t="n">
        <v>2022</v>
      </c>
      <c r="B12759" s="4" t="n">
        <v>95000</v>
      </c>
      <c r="C12759" s="4" t="n">
        <v>379</v>
      </c>
      <c r="D12759" s="4" t="n">
        <v>114.6475</v>
      </c>
      <c r="E12759" s="5" t="n">
        <v>828.6</v>
      </c>
      <c r="F12759" s="3" t="inlineStr">
        <is>
          <t>조치원읍</t>
        </is>
      </c>
      <c r="G12759" s="3" t="inlineStr">
        <is>
          <t>남리</t>
        </is>
      </c>
      <c r="H12759" s="3" t="inlineStr">
        <is>
          <t>단독다가구</t>
        </is>
      </c>
      <c r="I12759" s="3" t="inlineStr">
        <is>
          <t>다가구</t>
        </is>
      </c>
      <c r="J12759" s="3" t="inlineStr">
        <is>
          <t>조치원읍</t>
        </is>
      </c>
    </row>
    <row r="12760">
      <c r="A12760" s="3" t="n">
        <v>2022</v>
      </c>
      <c r="B12760" s="4" t="n">
        <v>27000</v>
      </c>
      <c r="C12760" s="4" t="n">
        <v>614</v>
      </c>
      <c r="D12760" s="4" t="n">
        <v>185.735</v>
      </c>
      <c r="E12760" s="5" t="n">
        <v>145.4</v>
      </c>
      <c r="F12760" s="3" t="inlineStr">
        <is>
          <t>금남면</t>
        </is>
      </c>
      <c r="G12760" s="3" t="inlineStr">
        <is>
          <t>영곡리</t>
        </is>
      </c>
      <c r="H12760" s="3" t="inlineStr">
        <is>
          <t>단독다가구</t>
        </is>
      </c>
      <c r="I12760" s="3" t="inlineStr">
        <is>
          <t>단독</t>
        </is>
      </c>
      <c r="J12760" s="3" t="inlineStr">
        <is>
          <t>금남면</t>
        </is>
      </c>
    </row>
    <row r="12761">
      <c r="A12761" s="3" t="n">
        <v>2022</v>
      </c>
      <c r="B12761" s="4" t="n">
        <v>95000</v>
      </c>
      <c r="C12761" s="4" t="n">
        <v>379</v>
      </c>
      <c r="D12761" s="4" t="n">
        <v>114.6475</v>
      </c>
      <c r="E12761" s="5" t="n">
        <v>828.6</v>
      </c>
      <c r="F12761" s="3" t="inlineStr">
        <is>
          <t>조치원읍</t>
        </is>
      </c>
      <c r="G12761" s="3" t="inlineStr">
        <is>
          <t>남리</t>
        </is>
      </c>
      <c r="H12761" s="3" t="inlineStr">
        <is>
          <t>단독다가구</t>
        </is>
      </c>
      <c r="I12761" s="3" t="inlineStr">
        <is>
          <t>다가구</t>
        </is>
      </c>
      <c r="J12761" s="3" t="inlineStr">
        <is>
          <t>조치원읍</t>
        </is>
      </c>
    </row>
    <row r="12762">
      <c r="A12762" s="3" t="n">
        <v>2022</v>
      </c>
      <c r="B12762" s="4" t="n">
        <v>81700</v>
      </c>
      <c r="C12762" s="4" t="n">
        <v>329</v>
      </c>
      <c r="D12762" s="4" t="n">
        <v>99.52249999999999</v>
      </c>
      <c r="E12762" s="5" t="n">
        <v>820.9</v>
      </c>
      <c r="F12762" s="3" t="inlineStr">
        <is>
          <t>장군면</t>
        </is>
      </c>
      <c r="G12762" s="3" t="inlineStr">
        <is>
          <t>도계리</t>
        </is>
      </c>
      <c r="H12762" s="3" t="inlineStr">
        <is>
          <t>단독다가구</t>
        </is>
      </c>
      <c r="I12762" s="3" t="inlineStr">
        <is>
          <t>다가구</t>
        </is>
      </c>
      <c r="J12762" s="3" t="inlineStr">
        <is>
          <t>장군면</t>
        </is>
      </c>
    </row>
    <row r="12763">
      <c r="A12763" s="3" t="n">
        <v>2022</v>
      </c>
      <c r="B12763" s="4" t="n">
        <v>82000</v>
      </c>
      <c r="C12763" s="4" t="n">
        <v>329</v>
      </c>
      <c r="D12763" s="4" t="n">
        <v>99.52249999999999</v>
      </c>
      <c r="E12763" s="5" t="n">
        <v>823.9</v>
      </c>
      <c r="F12763" s="3" t="inlineStr">
        <is>
          <t>장군면</t>
        </is>
      </c>
      <c r="G12763" s="3" t="inlineStr">
        <is>
          <t>도계리</t>
        </is>
      </c>
      <c r="H12763" s="3" t="inlineStr">
        <is>
          <t>단독다가구</t>
        </is>
      </c>
      <c r="I12763" s="3" t="inlineStr">
        <is>
          <t>단독</t>
        </is>
      </c>
      <c r="J12763" s="3" t="inlineStr">
        <is>
          <t>장군면</t>
        </is>
      </c>
    </row>
    <row r="12764">
      <c r="A12764" s="3" t="n">
        <v>2022</v>
      </c>
      <c r="B12764" s="4" t="n">
        <v>21000</v>
      </c>
      <c r="C12764" s="4" t="n">
        <v>953</v>
      </c>
      <c r="D12764" s="4" t="n">
        <v>288.2825</v>
      </c>
      <c r="E12764" s="5" t="n">
        <v>72.8</v>
      </c>
      <c r="F12764" s="3" t="inlineStr">
        <is>
          <t>전동면</t>
        </is>
      </c>
      <c r="G12764" s="3" t="inlineStr">
        <is>
          <t>송성리</t>
        </is>
      </c>
      <c r="H12764" s="3" t="inlineStr">
        <is>
          <t>단독다가구</t>
        </is>
      </c>
      <c r="I12764" s="3" t="inlineStr">
        <is>
          <t>단독</t>
        </is>
      </c>
      <c r="J12764" s="3" t="inlineStr">
        <is>
          <t>전동면</t>
        </is>
      </c>
    </row>
    <row r="12765">
      <c r="A12765" s="3" t="n">
        <v>2022</v>
      </c>
      <c r="B12765" s="4" t="n">
        <v>81700</v>
      </c>
      <c r="C12765" s="4" t="n">
        <v>329</v>
      </c>
      <c r="D12765" s="4" t="n">
        <v>99.52249999999999</v>
      </c>
      <c r="E12765" s="5" t="n">
        <v>820.9</v>
      </c>
      <c r="F12765" s="3" t="inlineStr">
        <is>
          <t>장군면</t>
        </is>
      </c>
      <c r="G12765" s="3" t="inlineStr">
        <is>
          <t>도계리</t>
        </is>
      </c>
      <c r="H12765" s="3" t="inlineStr">
        <is>
          <t>단독다가구</t>
        </is>
      </c>
      <c r="I12765" s="3" t="inlineStr">
        <is>
          <t>다가구</t>
        </is>
      </c>
      <c r="J12765" s="3" t="inlineStr">
        <is>
          <t>장군면</t>
        </is>
      </c>
    </row>
    <row r="12766">
      <c r="A12766" s="3" t="n">
        <v>2022</v>
      </c>
      <c r="B12766" s="4" t="n">
        <v>17000</v>
      </c>
      <c r="C12766" s="4" t="n">
        <v>179</v>
      </c>
      <c r="D12766" s="4" t="n">
        <v>54.1475</v>
      </c>
      <c r="E12766" s="5" t="n">
        <v>314</v>
      </c>
      <c r="F12766" s="3" t="inlineStr">
        <is>
          <t>조치원읍</t>
        </is>
      </c>
      <c r="G12766" s="3" t="inlineStr">
        <is>
          <t>신흥리</t>
        </is>
      </c>
      <c r="H12766" s="3" t="inlineStr">
        <is>
          <t>단독다가구</t>
        </is>
      </c>
      <c r="I12766" s="3" t="inlineStr">
        <is>
          <t>단독</t>
        </is>
      </c>
      <c r="J12766" s="3" t="inlineStr">
        <is>
          <t>조치원읍</t>
        </is>
      </c>
    </row>
    <row r="12767">
      <c r="A12767" s="3" t="n">
        <v>2022</v>
      </c>
      <c r="B12767" s="4" t="n">
        <v>64000</v>
      </c>
      <c r="C12767" s="4" t="n">
        <v>588</v>
      </c>
      <c r="D12767" s="4" t="n">
        <v>177.87</v>
      </c>
      <c r="E12767" s="5" t="n">
        <v>359.8</v>
      </c>
      <c r="F12767" s="3" t="inlineStr">
        <is>
          <t>조치원읍</t>
        </is>
      </c>
      <c r="G12767" s="3" t="inlineStr">
        <is>
          <t>신안리</t>
        </is>
      </c>
      <c r="H12767" s="3" t="inlineStr">
        <is>
          <t>단독다가구</t>
        </is>
      </c>
      <c r="I12767" s="3" t="inlineStr">
        <is>
          <t>다가구</t>
        </is>
      </c>
      <c r="J12767" s="3" t="inlineStr">
        <is>
          <t>조치원읍</t>
        </is>
      </c>
    </row>
    <row r="12768">
      <c r="A12768" s="3" t="n">
        <v>2022</v>
      </c>
      <c r="B12768" s="4" t="n">
        <v>4000</v>
      </c>
      <c r="C12768" s="4" t="n">
        <v>360</v>
      </c>
      <c r="D12768" s="4" t="n">
        <v>108.9</v>
      </c>
      <c r="E12768" s="5" t="n">
        <v>36.7</v>
      </c>
      <c r="F12768" s="3" t="inlineStr">
        <is>
          <t>전의면</t>
        </is>
      </c>
      <c r="G12768" s="3" t="inlineStr">
        <is>
          <t>달전리</t>
        </is>
      </c>
      <c r="H12768" s="3" t="inlineStr">
        <is>
          <t>단독다가구</t>
        </is>
      </c>
      <c r="I12768" s="3" t="inlineStr">
        <is>
          <t>단독</t>
        </is>
      </c>
      <c r="J12768" s="3" t="inlineStr">
        <is>
          <t>전의면</t>
        </is>
      </c>
    </row>
    <row r="12769">
      <c r="A12769" s="3" t="n">
        <v>2022</v>
      </c>
      <c r="B12769" s="4" t="n">
        <v>20000</v>
      </c>
      <c r="C12769" s="4" t="n">
        <v>537</v>
      </c>
      <c r="D12769" s="4" t="n">
        <v>162.4425</v>
      </c>
      <c r="E12769" s="5" t="n">
        <v>123.1</v>
      </c>
      <c r="F12769" s="3" t="inlineStr">
        <is>
          <t>연서면</t>
        </is>
      </c>
      <c r="G12769" s="3" t="inlineStr">
        <is>
          <t>성제리</t>
        </is>
      </c>
      <c r="H12769" s="3" t="inlineStr">
        <is>
          <t>단독다가구</t>
        </is>
      </c>
      <c r="I12769" s="3" t="inlineStr">
        <is>
          <t>단독</t>
        </is>
      </c>
      <c r="J12769" s="3" t="inlineStr">
        <is>
          <t>연서면</t>
        </is>
      </c>
    </row>
    <row r="12770">
      <c r="A12770" s="3" t="n">
        <v>2022</v>
      </c>
      <c r="B12770" s="4" t="n">
        <v>85000</v>
      </c>
      <c r="C12770" s="4" t="n">
        <v>1003</v>
      </c>
      <c r="D12770" s="4" t="n">
        <v>303.4075</v>
      </c>
      <c r="E12770" s="5" t="n">
        <v>280.2</v>
      </c>
      <c r="F12770" s="3" t="inlineStr">
        <is>
          <t>연서면</t>
        </is>
      </c>
      <c r="G12770" s="3" t="inlineStr">
        <is>
          <t>월하리</t>
        </is>
      </c>
      <c r="H12770" s="3" t="inlineStr">
        <is>
          <t>단독다가구</t>
        </is>
      </c>
      <c r="I12770" s="3" t="inlineStr">
        <is>
          <t>단독</t>
        </is>
      </c>
      <c r="J12770" s="3" t="inlineStr">
        <is>
          <t>연서면</t>
        </is>
      </c>
    </row>
    <row r="12771">
      <c r="A12771" s="3" t="n">
        <v>2022</v>
      </c>
      <c r="B12771" s="4" t="n">
        <v>52500</v>
      </c>
      <c r="C12771" s="4" t="n">
        <v>412</v>
      </c>
      <c r="D12771" s="4" t="n">
        <v>124.63</v>
      </c>
      <c r="E12771" s="5" t="n">
        <v>421.2</v>
      </c>
      <c r="F12771" s="3" t="inlineStr">
        <is>
          <t>연동면</t>
        </is>
      </c>
      <c r="G12771" s="3" t="inlineStr">
        <is>
          <t>문주리</t>
        </is>
      </c>
      <c r="H12771" s="3" t="inlineStr">
        <is>
          <t>단독다가구</t>
        </is>
      </c>
      <c r="I12771" s="3" t="inlineStr">
        <is>
          <t>단독</t>
        </is>
      </c>
      <c r="J12771" s="3" t="inlineStr">
        <is>
          <t>연동면</t>
        </is>
      </c>
    </row>
    <row r="12772">
      <c r="A12772" s="3" t="n">
        <v>2024</v>
      </c>
      <c r="B12772" s="4" t="n">
        <v>23000</v>
      </c>
      <c r="C12772" s="4" t="n">
        <v>422</v>
      </c>
      <c r="D12772" s="4" t="n">
        <v>127.655</v>
      </c>
      <c r="E12772" s="5" t="n">
        <v>180.2</v>
      </c>
      <c r="F12772" s="3" t="inlineStr">
        <is>
          <t>장군면</t>
        </is>
      </c>
      <c r="G12772" s="3" t="inlineStr">
        <is>
          <t>금암리</t>
        </is>
      </c>
      <c r="H12772" s="3" t="inlineStr">
        <is>
          <t>단독다가구</t>
        </is>
      </c>
      <c r="I12772" s="3" t="inlineStr">
        <is>
          <t>단독</t>
        </is>
      </c>
      <c r="J12772" s="3" t="inlineStr">
        <is>
          <t>장군면</t>
        </is>
      </c>
    </row>
    <row r="12773">
      <c r="A12773" s="3" t="n">
        <v>2024</v>
      </c>
      <c r="B12773" s="4" t="n">
        <v>67000</v>
      </c>
      <c r="C12773" s="4" t="n">
        <v>214.4</v>
      </c>
      <c r="D12773" s="4" t="n">
        <v>64.85599999999999</v>
      </c>
      <c r="E12773" s="5" t="n">
        <v>1033.1</v>
      </c>
      <c r="F12773" s="3" t="inlineStr">
        <is>
          <t>조치원읍</t>
        </is>
      </c>
      <c r="G12773" s="3" t="inlineStr">
        <is>
          <t>침산리</t>
        </is>
      </c>
      <c r="H12773" s="3" t="inlineStr">
        <is>
          <t>단독다가구</t>
        </is>
      </c>
      <c r="I12773" s="3" t="inlineStr">
        <is>
          <t>다가구</t>
        </is>
      </c>
      <c r="J12773" s="3" t="inlineStr">
        <is>
          <t>조치원읍</t>
        </is>
      </c>
    </row>
    <row r="12774">
      <c r="A12774" s="3" t="n">
        <v>2024</v>
      </c>
      <c r="B12774" s="4" t="n">
        <v>15400</v>
      </c>
      <c r="C12774" s="4" t="n">
        <v>539</v>
      </c>
      <c r="D12774" s="4" t="n">
        <v>163.0475</v>
      </c>
      <c r="E12774" s="5" t="n">
        <v>94.5</v>
      </c>
      <c r="F12774" s="3" t="inlineStr">
        <is>
          <t>부강면</t>
        </is>
      </c>
      <c r="G12774" s="3" t="inlineStr">
        <is>
          <t>등곡리</t>
        </is>
      </c>
      <c r="H12774" s="3" t="inlineStr">
        <is>
          <t>단독다가구</t>
        </is>
      </c>
      <c r="I12774" s="3" t="inlineStr">
        <is>
          <t>단독</t>
        </is>
      </c>
      <c r="J12774" s="3" t="inlineStr">
        <is>
          <t>부강면</t>
        </is>
      </c>
    </row>
    <row r="12775">
      <c r="A12775" s="3" t="n">
        <v>2024</v>
      </c>
      <c r="B12775" s="4" t="n">
        <v>4500</v>
      </c>
      <c r="C12775" s="4" t="n">
        <v>402</v>
      </c>
      <c r="D12775" s="4" t="n">
        <v>121.605</v>
      </c>
      <c r="E12775" s="5" t="n">
        <v>37</v>
      </c>
      <c r="F12775" s="3" t="inlineStr">
        <is>
          <t>전의면</t>
        </is>
      </c>
      <c r="G12775" s="3" t="inlineStr">
        <is>
          <t>달전리</t>
        </is>
      </c>
      <c r="H12775" s="3" t="inlineStr">
        <is>
          <t>단독다가구</t>
        </is>
      </c>
      <c r="I12775" s="3" t="inlineStr">
        <is>
          <t>단독</t>
        </is>
      </c>
      <c r="J12775" s="3" t="inlineStr">
        <is>
          <t>전의면</t>
        </is>
      </c>
    </row>
    <row r="12776">
      <c r="A12776" s="3" t="n">
        <v>2024</v>
      </c>
      <c r="B12776" s="4" t="n">
        <v>18000</v>
      </c>
      <c r="C12776" s="4" t="n">
        <v>116</v>
      </c>
      <c r="D12776" s="4" t="n">
        <v>35.09</v>
      </c>
      <c r="E12776" s="5" t="n">
        <v>513</v>
      </c>
      <c r="F12776" s="3" t="inlineStr">
        <is>
          <t>조치원읍</t>
        </is>
      </c>
      <c r="G12776" s="3" t="inlineStr">
        <is>
          <t>남리</t>
        </is>
      </c>
      <c r="H12776" s="3" t="inlineStr">
        <is>
          <t>단독다가구</t>
        </is>
      </c>
      <c r="I12776" s="3" t="inlineStr">
        <is>
          <t>단독</t>
        </is>
      </c>
      <c r="J12776" s="3" t="inlineStr">
        <is>
          <t>조치원읍</t>
        </is>
      </c>
    </row>
    <row r="12777">
      <c r="A12777" s="3" t="n">
        <v>2024</v>
      </c>
      <c r="B12777" s="4" t="n">
        <v>80770</v>
      </c>
      <c r="C12777" s="4" t="n">
        <v>511</v>
      </c>
      <c r="D12777" s="4" t="n">
        <v>154.5775</v>
      </c>
      <c r="E12777" s="5" t="n">
        <v>522.5</v>
      </c>
      <c r="F12777" s="3" t="inlineStr">
        <is>
          <t>조치원읍</t>
        </is>
      </c>
      <c r="G12777" s="3" t="inlineStr">
        <is>
          <t>신안리</t>
        </is>
      </c>
      <c r="H12777" s="3" t="inlineStr">
        <is>
          <t>단독다가구</t>
        </is>
      </c>
      <c r="I12777" s="3" t="inlineStr">
        <is>
          <t>다가구</t>
        </is>
      </c>
      <c r="J12777" s="3" t="inlineStr">
        <is>
          <t>조치원읍</t>
        </is>
      </c>
    </row>
    <row r="12778">
      <c r="A12778" s="3" t="n">
        <v>2024</v>
      </c>
      <c r="B12778" s="4" t="n">
        <v>15000</v>
      </c>
      <c r="C12778" s="4" t="n">
        <v>817</v>
      </c>
      <c r="D12778" s="4" t="n">
        <v>247.1425</v>
      </c>
      <c r="E12778" s="5" t="n">
        <v>60.7</v>
      </c>
      <c r="F12778" s="3" t="inlineStr">
        <is>
          <t>부강면</t>
        </is>
      </c>
      <c r="G12778" s="3" t="inlineStr">
        <is>
          <t>문곡리</t>
        </is>
      </c>
      <c r="H12778" s="3" t="inlineStr">
        <is>
          <t>단독다가구</t>
        </is>
      </c>
      <c r="I12778" s="3" t="inlineStr">
        <is>
          <t>단독</t>
        </is>
      </c>
      <c r="J12778" s="3" t="inlineStr">
        <is>
          <t>부강면</t>
        </is>
      </c>
    </row>
    <row r="12779">
      <c r="A12779" s="3" t="n">
        <v>2024</v>
      </c>
      <c r="B12779" s="4" t="n">
        <v>122134</v>
      </c>
      <c r="C12779" s="4" t="n">
        <v>347</v>
      </c>
      <c r="D12779" s="4" t="n">
        <v>104.9675</v>
      </c>
      <c r="E12779" s="5" t="n">
        <v>1163.5</v>
      </c>
      <c r="F12779" s="3" t="inlineStr">
        <is>
          <t>고운동</t>
        </is>
      </c>
      <c r="G12779" s="3" t="inlineStr"/>
      <c r="H12779" s="3" t="inlineStr">
        <is>
          <t>단독다가구</t>
        </is>
      </c>
      <c r="I12779" s="3" t="inlineStr">
        <is>
          <t>단독</t>
        </is>
      </c>
      <c r="J12779" s="3" t="inlineStr">
        <is>
          <t>고운동</t>
        </is>
      </c>
    </row>
    <row r="12780">
      <c r="A12780" s="3" t="n">
        <v>2024</v>
      </c>
      <c r="B12780" s="4" t="n">
        <v>12000</v>
      </c>
      <c r="C12780" s="4" t="n">
        <v>155</v>
      </c>
      <c r="D12780" s="4" t="n">
        <v>46.8875</v>
      </c>
      <c r="E12780" s="5" t="n">
        <v>255.9</v>
      </c>
      <c r="F12780" s="3" t="inlineStr">
        <is>
          <t>연서면</t>
        </is>
      </c>
      <c r="G12780" s="3" t="inlineStr">
        <is>
          <t>용암리</t>
        </is>
      </c>
      <c r="H12780" s="3" t="inlineStr">
        <is>
          <t>단독다가구</t>
        </is>
      </c>
      <c r="I12780" s="3" t="inlineStr">
        <is>
          <t>단독</t>
        </is>
      </c>
      <c r="J12780" s="3" t="inlineStr">
        <is>
          <t>연서면</t>
        </is>
      </c>
    </row>
    <row r="12781">
      <c r="A12781" s="3" t="n">
        <v>2024</v>
      </c>
      <c r="B12781" s="4" t="n">
        <v>15000</v>
      </c>
      <c r="C12781" s="4" t="n">
        <v>265</v>
      </c>
      <c r="D12781" s="4" t="n">
        <v>80.16249999999999</v>
      </c>
      <c r="E12781" s="5" t="n">
        <v>187.1</v>
      </c>
      <c r="F12781" s="3" t="inlineStr">
        <is>
          <t>부강면</t>
        </is>
      </c>
      <c r="G12781" s="3" t="inlineStr">
        <is>
          <t>문곡리</t>
        </is>
      </c>
      <c r="H12781" s="3" t="inlineStr">
        <is>
          <t>단독다가구</t>
        </is>
      </c>
      <c r="I12781" s="3" t="inlineStr">
        <is>
          <t>단독</t>
        </is>
      </c>
      <c r="J12781" s="3" t="inlineStr">
        <is>
          <t>부강면</t>
        </is>
      </c>
    </row>
    <row r="12782">
      <c r="A12782" s="3" t="n">
        <v>2024</v>
      </c>
      <c r="B12782" s="4" t="n">
        <v>19000</v>
      </c>
      <c r="C12782" s="4" t="n">
        <v>473</v>
      </c>
      <c r="D12782" s="4" t="n">
        <v>143.0825</v>
      </c>
      <c r="E12782" s="5" t="n">
        <v>132.8</v>
      </c>
      <c r="F12782" s="3" t="inlineStr">
        <is>
          <t>전동면</t>
        </is>
      </c>
      <c r="G12782" s="3" t="inlineStr">
        <is>
          <t>봉대리</t>
        </is>
      </c>
      <c r="H12782" s="3" t="inlineStr">
        <is>
          <t>단독다가구</t>
        </is>
      </c>
      <c r="I12782" s="3" t="inlineStr">
        <is>
          <t>단독</t>
        </is>
      </c>
      <c r="J12782" s="3" t="inlineStr">
        <is>
          <t>전동면</t>
        </is>
      </c>
    </row>
    <row r="12783">
      <c r="A12783" s="3" t="n">
        <v>2024</v>
      </c>
      <c r="B12783" s="4" t="n">
        <v>22500</v>
      </c>
      <c r="C12783" s="4" t="n">
        <v>162</v>
      </c>
      <c r="D12783" s="4" t="n">
        <v>49.005</v>
      </c>
      <c r="E12783" s="5" t="n">
        <v>459.1</v>
      </c>
      <c r="F12783" s="3" t="inlineStr">
        <is>
          <t>조치원읍</t>
        </is>
      </c>
      <c r="G12783" s="3" t="inlineStr">
        <is>
          <t>남리</t>
        </is>
      </c>
      <c r="H12783" s="3" t="inlineStr">
        <is>
          <t>단독다가구</t>
        </is>
      </c>
      <c r="I12783" s="3" t="inlineStr">
        <is>
          <t>단독</t>
        </is>
      </c>
      <c r="J12783" s="3" t="inlineStr">
        <is>
          <t>조치원읍</t>
        </is>
      </c>
    </row>
    <row r="12784">
      <c r="A12784" s="3" t="n">
        <v>2023</v>
      </c>
      <c r="B12784" s="4" t="n">
        <v>24000</v>
      </c>
      <c r="C12784" s="4" t="n">
        <v>301</v>
      </c>
      <c r="D12784" s="4" t="n">
        <v>91.05249999999999</v>
      </c>
      <c r="E12784" s="5" t="n">
        <v>263.6</v>
      </c>
      <c r="F12784" s="3" t="inlineStr">
        <is>
          <t>연동면</t>
        </is>
      </c>
      <c r="G12784" s="3" t="inlineStr">
        <is>
          <t>예양리</t>
        </is>
      </c>
      <c r="H12784" s="3" t="inlineStr">
        <is>
          <t>단독다가구</t>
        </is>
      </c>
      <c r="I12784" s="3" t="inlineStr">
        <is>
          <t>단독</t>
        </is>
      </c>
      <c r="J12784" s="3" t="inlineStr">
        <is>
          <t>연동면</t>
        </is>
      </c>
    </row>
    <row r="12785">
      <c r="A12785" s="3" t="n">
        <v>2022</v>
      </c>
      <c r="B12785" s="4" t="n">
        <v>27000</v>
      </c>
      <c r="C12785" s="4" t="n">
        <v>172</v>
      </c>
      <c r="D12785" s="4" t="n">
        <v>52.03</v>
      </c>
      <c r="E12785" s="5" t="n">
        <v>518.9</v>
      </c>
      <c r="F12785" s="3" t="inlineStr">
        <is>
          <t>조치원읍</t>
        </is>
      </c>
      <c r="G12785" s="3" t="inlineStr">
        <is>
          <t>서창리</t>
        </is>
      </c>
      <c r="H12785" s="3" t="inlineStr">
        <is>
          <t>단독다가구</t>
        </is>
      </c>
      <c r="I12785" s="3" t="inlineStr">
        <is>
          <t>다가구</t>
        </is>
      </c>
      <c r="J12785" s="3" t="inlineStr">
        <is>
          <t>조치원읍</t>
        </is>
      </c>
    </row>
    <row r="12786">
      <c r="A12786" s="3" t="n">
        <v>2022</v>
      </c>
      <c r="B12786" s="4" t="n">
        <v>11500</v>
      </c>
      <c r="C12786" s="4" t="n">
        <v>91</v>
      </c>
      <c r="D12786" s="4" t="n">
        <v>27.5275</v>
      </c>
      <c r="E12786" s="5" t="n">
        <v>417.8</v>
      </c>
      <c r="F12786" s="3" t="inlineStr">
        <is>
          <t>조치원읍</t>
        </is>
      </c>
      <c r="G12786" s="3" t="inlineStr">
        <is>
          <t>명리</t>
        </is>
      </c>
      <c r="H12786" s="3" t="inlineStr">
        <is>
          <t>단독다가구</t>
        </is>
      </c>
      <c r="I12786" s="3" t="inlineStr">
        <is>
          <t>단독</t>
        </is>
      </c>
      <c r="J12786" s="3" t="inlineStr">
        <is>
          <t>조치원읍</t>
        </is>
      </c>
    </row>
    <row r="12787">
      <c r="A12787" s="3" t="n">
        <v>2022</v>
      </c>
      <c r="B12787" s="4" t="n">
        <v>35000</v>
      </c>
      <c r="C12787" s="4" t="n">
        <v>742</v>
      </c>
      <c r="D12787" s="4" t="n">
        <v>224.455</v>
      </c>
      <c r="E12787" s="5" t="n">
        <v>155.9</v>
      </c>
      <c r="F12787" s="3" t="inlineStr">
        <is>
          <t>연서면</t>
        </is>
      </c>
      <c r="G12787" s="3" t="inlineStr">
        <is>
          <t>쌍류리</t>
        </is>
      </c>
      <c r="H12787" s="3" t="inlineStr">
        <is>
          <t>단독다가구</t>
        </is>
      </c>
      <c r="I12787" s="3" t="inlineStr">
        <is>
          <t>단독</t>
        </is>
      </c>
      <c r="J12787" s="3" t="inlineStr">
        <is>
          <t>연서면</t>
        </is>
      </c>
    </row>
    <row r="12788">
      <c r="A12788" s="3" t="n">
        <v>2023</v>
      </c>
      <c r="B12788" s="4" t="n">
        <v>16550</v>
      </c>
      <c r="C12788" s="4" t="n">
        <v>228</v>
      </c>
      <c r="D12788" s="4" t="n">
        <v>68.97</v>
      </c>
      <c r="E12788" s="5" t="n">
        <v>240</v>
      </c>
      <c r="F12788" s="3" t="inlineStr">
        <is>
          <t>연동면</t>
        </is>
      </c>
      <c r="G12788" s="3" t="inlineStr">
        <is>
          <t>송용리</t>
        </is>
      </c>
      <c r="H12788" s="3" t="inlineStr">
        <is>
          <t>단독다가구</t>
        </is>
      </c>
      <c r="I12788" s="3" t="inlineStr">
        <is>
          <t>단독</t>
        </is>
      </c>
      <c r="J12788" s="3" t="inlineStr">
        <is>
          <t>연동면</t>
        </is>
      </c>
    </row>
    <row r="12789">
      <c r="A12789" s="3" t="n">
        <v>2023</v>
      </c>
      <c r="B12789" s="4" t="n">
        <v>22000</v>
      </c>
      <c r="C12789" s="4" t="n">
        <v>215</v>
      </c>
      <c r="D12789" s="4" t="n">
        <v>65.03749999999999</v>
      </c>
      <c r="E12789" s="5" t="n">
        <v>338.3</v>
      </c>
      <c r="F12789" s="3" t="inlineStr">
        <is>
          <t>조치원읍</t>
        </is>
      </c>
      <c r="G12789" s="3" t="inlineStr">
        <is>
          <t>평리</t>
        </is>
      </c>
      <c r="H12789" s="3" t="inlineStr">
        <is>
          <t>단독다가구</t>
        </is>
      </c>
      <c r="I12789" s="3" t="inlineStr">
        <is>
          <t>단독</t>
        </is>
      </c>
      <c r="J12789" s="3" t="inlineStr">
        <is>
          <t>조치원읍</t>
        </is>
      </c>
    </row>
    <row r="12790">
      <c r="A12790" s="3" t="n">
        <v>2023</v>
      </c>
      <c r="B12790" s="4" t="n">
        <v>110000</v>
      </c>
      <c r="C12790" s="4" t="n">
        <v>281</v>
      </c>
      <c r="D12790" s="4" t="n">
        <v>85.0025</v>
      </c>
      <c r="E12790" s="5" t="n">
        <v>1294.1</v>
      </c>
      <c r="F12790" s="3" t="inlineStr">
        <is>
          <t>부강면</t>
        </is>
      </c>
      <c r="G12790" s="3" t="inlineStr">
        <is>
          <t>부강리</t>
        </is>
      </c>
      <c r="H12790" s="3" t="inlineStr">
        <is>
          <t>단독다가구</t>
        </is>
      </c>
      <c r="I12790" s="3" t="inlineStr">
        <is>
          <t>다가구</t>
        </is>
      </c>
      <c r="J12790" s="3" t="inlineStr">
        <is>
          <t>부강면</t>
        </is>
      </c>
    </row>
    <row r="12791">
      <c r="A12791" s="3" t="n">
        <v>2023</v>
      </c>
      <c r="B12791" s="4" t="n">
        <v>114570</v>
      </c>
      <c r="C12791" s="4" t="n">
        <v>331.6</v>
      </c>
      <c r="D12791" s="4" t="n">
        <v>100.309</v>
      </c>
      <c r="E12791" s="5" t="n">
        <v>1142.2</v>
      </c>
      <c r="F12791" s="3" t="inlineStr">
        <is>
          <t>고운동</t>
        </is>
      </c>
      <c r="G12791" s="3" t="inlineStr"/>
      <c r="H12791" s="3" t="inlineStr">
        <is>
          <t>단독다가구</t>
        </is>
      </c>
      <c r="I12791" s="3" t="inlineStr">
        <is>
          <t>단독</t>
        </is>
      </c>
      <c r="J12791" s="3" t="inlineStr">
        <is>
          <t>고운동</t>
        </is>
      </c>
    </row>
    <row r="12792">
      <c r="A12792" s="3" t="n">
        <v>2022</v>
      </c>
      <c r="B12792" s="4" t="n">
        <v>16000</v>
      </c>
      <c r="C12792" s="4" t="n">
        <v>210</v>
      </c>
      <c r="D12792" s="4" t="n">
        <v>63.525</v>
      </c>
      <c r="E12792" s="5" t="n">
        <v>251.9</v>
      </c>
      <c r="F12792" s="3" t="inlineStr">
        <is>
          <t>남이면</t>
        </is>
      </c>
      <c r="G12792" s="3" t="inlineStr">
        <is>
          <t>척산리</t>
        </is>
      </c>
      <c r="H12792" s="3" t="inlineStr">
        <is>
          <t>단독다가구</t>
        </is>
      </c>
      <c r="I12792" s="3" t="inlineStr">
        <is>
          <t>단독</t>
        </is>
      </c>
      <c r="J12792" s="3" t="inlineStr">
        <is>
          <t>남이면</t>
        </is>
      </c>
    </row>
    <row r="12793">
      <c r="A12793" s="3" t="n">
        <v>2022</v>
      </c>
      <c r="B12793" s="4" t="n">
        <v>12700</v>
      </c>
      <c r="C12793" s="4" t="n">
        <v>407</v>
      </c>
      <c r="D12793" s="4" t="n">
        <v>123.1175</v>
      </c>
      <c r="E12793" s="5" t="n">
        <v>103.2</v>
      </c>
      <c r="F12793" s="3" t="inlineStr">
        <is>
          <t>남이면</t>
        </is>
      </c>
      <c r="G12793" s="3" t="inlineStr">
        <is>
          <t>부용외천리</t>
        </is>
      </c>
      <c r="H12793" s="3" t="inlineStr">
        <is>
          <t>단독다가구</t>
        </is>
      </c>
      <c r="I12793" s="3" t="inlineStr">
        <is>
          <t>단독</t>
        </is>
      </c>
      <c r="J12793" s="3" t="inlineStr">
        <is>
          <t>남이면</t>
        </is>
      </c>
    </row>
    <row r="12794">
      <c r="A12794" s="3" t="n">
        <v>2022</v>
      </c>
      <c r="B12794" s="4" t="n">
        <v>41580</v>
      </c>
      <c r="C12794" s="4" t="n">
        <v>449</v>
      </c>
      <c r="D12794" s="4" t="n">
        <v>135.8225</v>
      </c>
      <c r="E12794" s="5" t="n">
        <v>306.1</v>
      </c>
      <c r="F12794" s="3" t="inlineStr">
        <is>
          <t>남이면</t>
        </is>
      </c>
      <c r="G12794" s="3" t="inlineStr">
        <is>
          <t>수대리</t>
        </is>
      </c>
      <c r="H12794" s="3" t="inlineStr">
        <is>
          <t>단독다가구</t>
        </is>
      </c>
      <c r="I12794" s="3" t="inlineStr">
        <is>
          <t>단독</t>
        </is>
      </c>
      <c r="J12794" s="3" t="inlineStr">
        <is>
          <t>남이면</t>
        </is>
      </c>
    </row>
    <row r="12795">
      <c r="A12795" s="3" t="n">
        <v>2024</v>
      </c>
      <c r="B12795" s="4" t="n">
        <v>35000</v>
      </c>
      <c r="C12795" s="4" t="n">
        <v>742</v>
      </c>
      <c r="D12795" s="4" t="n">
        <v>224.455</v>
      </c>
      <c r="E12795" s="5" t="n">
        <v>155.9</v>
      </c>
      <c r="F12795" s="3" t="inlineStr">
        <is>
          <t>남이면</t>
        </is>
      </c>
      <c r="G12795" s="3" t="inlineStr">
        <is>
          <t>석판리</t>
        </is>
      </c>
      <c r="H12795" s="3" t="inlineStr">
        <is>
          <t>단독다가구</t>
        </is>
      </c>
      <c r="I12795" s="3" t="inlineStr">
        <is>
          <t>단독</t>
        </is>
      </c>
      <c r="J12795" s="3" t="inlineStr">
        <is>
          <t>남이면</t>
        </is>
      </c>
    </row>
    <row r="12796">
      <c r="A12796" s="3" t="n">
        <v>2024</v>
      </c>
      <c r="B12796" s="4" t="n">
        <v>19664</v>
      </c>
      <c r="C12796" s="4" t="n">
        <v>500</v>
      </c>
      <c r="D12796" s="4" t="n">
        <v>151.25</v>
      </c>
      <c r="E12796" s="5" t="n">
        <v>130</v>
      </c>
      <c r="F12796" s="3" t="inlineStr">
        <is>
          <t>남이면</t>
        </is>
      </c>
      <c r="G12796" s="3" t="inlineStr">
        <is>
          <t>척산리</t>
        </is>
      </c>
      <c r="H12796" s="3" t="inlineStr">
        <is>
          <t>단독다가구</t>
        </is>
      </c>
      <c r="I12796" s="3" t="inlineStr">
        <is>
          <t>단독</t>
        </is>
      </c>
      <c r="J12796" s="3" t="inlineStr">
        <is>
          <t>남이면</t>
        </is>
      </c>
    </row>
    <row r="12797">
      <c r="A12797" s="3" t="n">
        <v>2024</v>
      </c>
      <c r="B12797" s="4" t="n">
        <v>13600</v>
      </c>
      <c r="C12797" s="4" t="n">
        <v>433</v>
      </c>
      <c r="D12797" s="4" t="n">
        <v>130.9825</v>
      </c>
      <c r="E12797" s="5" t="n">
        <v>103.8</v>
      </c>
      <c r="F12797" s="3" t="inlineStr">
        <is>
          <t>남이면</t>
        </is>
      </c>
      <c r="G12797" s="3" t="inlineStr">
        <is>
          <t>대련리</t>
        </is>
      </c>
      <c r="H12797" s="3" t="inlineStr">
        <is>
          <t>단독다가구</t>
        </is>
      </c>
      <c r="I12797" s="3" t="inlineStr">
        <is>
          <t>단독</t>
        </is>
      </c>
      <c r="J12797" s="3" t="inlineStr">
        <is>
          <t>남이면</t>
        </is>
      </c>
    </row>
    <row r="12798">
      <c r="A12798" s="3" t="n">
        <v>2024</v>
      </c>
      <c r="B12798" s="4" t="n">
        <v>8500</v>
      </c>
      <c r="C12798" s="4" t="n">
        <v>541</v>
      </c>
      <c r="D12798" s="4" t="n">
        <v>163.6525</v>
      </c>
      <c r="E12798" s="5" t="n">
        <v>51.9</v>
      </c>
      <c r="F12798" s="3" t="inlineStr">
        <is>
          <t>현도면</t>
        </is>
      </c>
      <c r="G12798" s="3" t="inlineStr">
        <is>
          <t>죽전리</t>
        </is>
      </c>
      <c r="H12798" s="3" t="inlineStr">
        <is>
          <t>단독다가구</t>
        </is>
      </c>
      <c r="I12798" s="3" t="inlineStr">
        <is>
          <t>단독</t>
        </is>
      </c>
      <c r="J12798" s="3" t="inlineStr">
        <is>
          <t>현도면</t>
        </is>
      </c>
    </row>
    <row r="12799">
      <c r="A12799" s="3" t="n">
        <v>2024</v>
      </c>
      <c r="B12799" s="4" t="n">
        <v>28500</v>
      </c>
      <c r="C12799" s="4" t="n">
        <v>343</v>
      </c>
      <c r="D12799" s="4" t="n">
        <v>103.7575</v>
      </c>
      <c r="E12799" s="5" t="n">
        <v>274.7</v>
      </c>
      <c r="F12799" s="3" t="inlineStr">
        <is>
          <t>남이면</t>
        </is>
      </c>
      <c r="G12799" s="3" t="inlineStr">
        <is>
          <t>석판리</t>
        </is>
      </c>
      <c r="H12799" s="3" t="inlineStr">
        <is>
          <t>단독다가구</t>
        </is>
      </c>
      <c r="I12799" s="3" t="inlineStr">
        <is>
          <t>단독</t>
        </is>
      </c>
      <c r="J12799" s="3" t="inlineStr">
        <is>
          <t>남이면</t>
        </is>
      </c>
    </row>
    <row r="12800">
      <c r="A12800" s="3" t="n">
        <v>2024</v>
      </c>
      <c r="B12800" s="4" t="n">
        <v>18090</v>
      </c>
      <c r="C12800" s="4" t="n">
        <v>443</v>
      </c>
      <c r="D12800" s="4" t="n">
        <v>134.0075</v>
      </c>
      <c r="E12800" s="5" t="n">
        <v>135</v>
      </c>
      <c r="F12800" s="3" t="inlineStr">
        <is>
          <t>남이면</t>
        </is>
      </c>
      <c r="G12800" s="3" t="inlineStr">
        <is>
          <t>부용외천리</t>
        </is>
      </c>
      <c r="H12800" s="3" t="inlineStr">
        <is>
          <t>단독다가구</t>
        </is>
      </c>
      <c r="I12800" s="3" t="inlineStr">
        <is>
          <t>단독</t>
        </is>
      </c>
      <c r="J12800" s="3" t="inlineStr">
        <is>
          <t>남이면</t>
        </is>
      </c>
    </row>
    <row r="12801">
      <c r="A12801" s="3" t="n">
        <v>2024</v>
      </c>
      <c r="B12801" s="4" t="n">
        <v>78200</v>
      </c>
      <c r="C12801" s="4" t="n">
        <v>595</v>
      </c>
      <c r="D12801" s="4" t="n">
        <v>179.9875</v>
      </c>
      <c r="E12801" s="5" t="n">
        <v>434.5</v>
      </c>
      <c r="F12801" s="3" t="inlineStr">
        <is>
          <t>남이면</t>
        </is>
      </c>
      <c r="G12801" s="3" t="inlineStr">
        <is>
          <t>석판리</t>
        </is>
      </c>
      <c r="H12801" s="3" t="inlineStr">
        <is>
          <t>단독다가구</t>
        </is>
      </c>
      <c r="I12801" s="3" t="inlineStr">
        <is>
          <t>단독</t>
        </is>
      </c>
      <c r="J12801" s="3" t="inlineStr">
        <is>
          <t>남이면</t>
        </is>
      </c>
    </row>
    <row r="12802">
      <c r="A12802" s="3" t="n">
        <v>2022</v>
      </c>
      <c r="B12802" s="4" t="n">
        <v>4200</v>
      </c>
      <c r="C12802" s="4" t="n">
        <v>172</v>
      </c>
      <c r="D12802" s="4" t="n">
        <v>52.03</v>
      </c>
      <c r="E12802" s="5" t="n">
        <v>80.7</v>
      </c>
      <c r="F12802" s="3" t="inlineStr">
        <is>
          <t>현도면</t>
        </is>
      </c>
      <c r="G12802" s="3" t="inlineStr">
        <is>
          <t>시동리</t>
        </is>
      </c>
      <c r="H12802" s="3" t="inlineStr">
        <is>
          <t>단독다가구</t>
        </is>
      </c>
      <c r="I12802" s="3" t="inlineStr">
        <is>
          <t>단독</t>
        </is>
      </c>
      <c r="J12802" s="3" t="inlineStr">
        <is>
          <t>현도면</t>
        </is>
      </c>
    </row>
    <row r="12803">
      <c r="A12803" s="3" t="n">
        <v>2022</v>
      </c>
      <c r="B12803" s="4" t="n">
        <v>16600</v>
      </c>
      <c r="C12803" s="4" t="n">
        <v>582</v>
      </c>
      <c r="D12803" s="4" t="n">
        <v>176.055</v>
      </c>
      <c r="E12803" s="5" t="n">
        <v>94.3</v>
      </c>
      <c r="F12803" s="3" t="inlineStr">
        <is>
          <t>남이면</t>
        </is>
      </c>
      <c r="G12803" s="3" t="inlineStr">
        <is>
          <t>부용외천리</t>
        </is>
      </c>
      <c r="H12803" s="3" t="inlineStr">
        <is>
          <t>단독다가구</t>
        </is>
      </c>
      <c r="I12803" s="3" t="inlineStr">
        <is>
          <t>단독</t>
        </is>
      </c>
      <c r="J12803" s="3" t="inlineStr">
        <is>
          <t>남이면</t>
        </is>
      </c>
    </row>
    <row r="12804">
      <c r="A12804" s="3" t="n">
        <v>2023</v>
      </c>
      <c r="B12804" s="4" t="n">
        <v>8500</v>
      </c>
      <c r="C12804" s="4" t="n">
        <v>567</v>
      </c>
      <c r="D12804" s="4" t="n">
        <v>171.5175</v>
      </c>
      <c r="E12804" s="5" t="n">
        <v>49.6</v>
      </c>
      <c r="F12804" s="3" t="inlineStr">
        <is>
          <t>남이면</t>
        </is>
      </c>
      <c r="G12804" s="3" t="inlineStr">
        <is>
          <t>문동리</t>
        </is>
      </c>
      <c r="H12804" s="3" t="inlineStr">
        <is>
          <t>단독다가구</t>
        </is>
      </c>
      <c r="I12804" s="3" t="inlineStr">
        <is>
          <t>단독</t>
        </is>
      </c>
      <c r="J12804" s="3" t="inlineStr">
        <is>
          <t>남이면</t>
        </is>
      </c>
    </row>
    <row r="12805">
      <c r="A12805" s="3" t="n">
        <v>2023</v>
      </c>
      <c r="B12805" s="4" t="n">
        <v>55000</v>
      </c>
      <c r="C12805" s="4" t="n">
        <v>658</v>
      </c>
      <c r="D12805" s="4" t="n">
        <v>199.045</v>
      </c>
      <c r="E12805" s="5" t="n">
        <v>276.3</v>
      </c>
      <c r="F12805" s="3" t="inlineStr">
        <is>
          <t>남이면</t>
        </is>
      </c>
      <c r="G12805" s="3" t="inlineStr">
        <is>
          <t>양촌리</t>
        </is>
      </c>
      <c r="H12805" s="3" t="inlineStr">
        <is>
          <t>단독다가구</t>
        </is>
      </c>
      <c r="I12805" s="3" t="inlineStr">
        <is>
          <t>단독</t>
        </is>
      </c>
      <c r="J12805" s="3" t="inlineStr">
        <is>
          <t>남이면</t>
        </is>
      </c>
    </row>
    <row r="12806">
      <c r="A12806" s="3" t="n">
        <v>2023</v>
      </c>
      <c r="B12806" s="4" t="n">
        <v>20300</v>
      </c>
      <c r="C12806" s="4" t="n">
        <v>281</v>
      </c>
      <c r="D12806" s="4" t="n">
        <v>85.0025</v>
      </c>
      <c r="E12806" s="5" t="n">
        <v>238.8</v>
      </c>
      <c r="F12806" s="3" t="inlineStr">
        <is>
          <t>현도면</t>
        </is>
      </c>
      <c r="G12806" s="3" t="inlineStr">
        <is>
          <t>노산리</t>
        </is>
      </c>
      <c r="H12806" s="3" t="inlineStr">
        <is>
          <t>단독다가구</t>
        </is>
      </c>
      <c r="I12806" s="3" t="inlineStr">
        <is>
          <t>단독</t>
        </is>
      </c>
      <c r="J12806" s="3" t="inlineStr">
        <is>
          <t>현도면</t>
        </is>
      </c>
    </row>
    <row r="12807">
      <c r="A12807" s="3" t="n">
        <v>2023</v>
      </c>
      <c r="B12807" s="4" t="n">
        <v>20300</v>
      </c>
      <c r="C12807" s="4" t="n">
        <v>281</v>
      </c>
      <c r="D12807" s="4" t="n">
        <v>85.0025</v>
      </c>
      <c r="E12807" s="5" t="n">
        <v>238.8</v>
      </c>
      <c r="F12807" s="3" t="inlineStr">
        <is>
          <t>현도면</t>
        </is>
      </c>
      <c r="G12807" s="3" t="inlineStr">
        <is>
          <t>노산리</t>
        </is>
      </c>
      <c r="H12807" s="3" t="inlineStr">
        <is>
          <t>단독다가구</t>
        </is>
      </c>
      <c r="I12807" s="3" t="inlineStr">
        <is>
          <t>단독</t>
        </is>
      </c>
      <c r="J12807" s="3" t="inlineStr">
        <is>
          <t>현도면</t>
        </is>
      </c>
    </row>
    <row r="12808">
      <c r="A12808" s="3" t="n">
        <v>2023</v>
      </c>
      <c r="B12808" s="4" t="n">
        <v>43000</v>
      </c>
      <c r="C12808" s="4" t="n">
        <v>660</v>
      </c>
      <c r="D12808" s="4" t="n">
        <v>199.65</v>
      </c>
      <c r="E12808" s="5" t="n">
        <v>215.4</v>
      </c>
      <c r="F12808" s="3" t="inlineStr">
        <is>
          <t>남이면</t>
        </is>
      </c>
      <c r="G12808" s="3" t="inlineStr">
        <is>
          <t>양촌리</t>
        </is>
      </c>
      <c r="H12808" s="3" t="inlineStr">
        <is>
          <t>단독다가구</t>
        </is>
      </c>
      <c r="I12808" s="3" t="inlineStr">
        <is>
          <t>단독</t>
        </is>
      </c>
      <c r="J12808" s="3" t="inlineStr">
        <is>
          <t>남이면</t>
        </is>
      </c>
    </row>
    <row r="12809">
      <c r="A12809" s="3" t="n">
        <v>2023</v>
      </c>
      <c r="B12809" s="4" t="n">
        <v>20500</v>
      </c>
      <c r="C12809" s="4" t="n">
        <v>281</v>
      </c>
      <c r="D12809" s="4" t="n">
        <v>85.0025</v>
      </c>
      <c r="E12809" s="5" t="n">
        <v>241.2</v>
      </c>
      <c r="F12809" s="3" t="inlineStr">
        <is>
          <t>현도면</t>
        </is>
      </c>
      <c r="G12809" s="3" t="inlineStr">
        <is>
          <t>노산리</t>
        </is>
      </c>
      <c r="H12809" s="3" t="inlineStr">
        <is>
          <t>단독다가구</t>
        </is>
      </c>
      <c r="I12809" s="3" t="inlineStr">
        <is>
          <t>단독</t>
        </is>
      </c>
      <c r="J12809" s="3" t="inlineStr">
        <is>
          <t>현도면</t>
        </is>
      </c>
    </row>
    <row r="12810">
      <c r="A12810" s="3" t="n">
        <v>2023</v>
      </c>
      <c r="B12810" s="4" t="n">
        <v>19000</v>
      </c>
      <c r="C12810" s="4" t="n">
        <v>605</v>
      </c>
      <c r="D12810" s="4" t="n">
        <v>183.0125</v>
      </c>
      <c r="E12810" s="5" t="n">
        <v>103.8</v>
      </c>
      <c r="F12810" s="3" t="inlineStr">
        <is>
          <t>현도면</t>
        </is>
      </c>
      <c r="G12810" s="3" t="inlineStr">
        <is>
          <t>상삼리</t>
        </is>
      </c>
      <c r="H12810" s="3" t="inlineStr">
        <is>
          <t>단독다가구</t>
        </is>
      </c>
      <c r="I12810" s="3" t="inlineStr">
        <is>
          <t>단독</t>
        </is>
      </c>
      <c r="J12810" s="3" t="inlineStr">
        <is>
          <t>현도면</t>
        </is>
      </c>
    </row>
    <row r="12811">
      <c r="A12811" s="3" t="n">
        <v>2023</v>
      </c>
      <c r="B12811" s="4" t="n">
        <v>7700</v>
      </c>
      <c r="C12811" s="4" t="n">
        <v>314</v>
      </c>
      <c r="D12811" s="4" t="n">
        <v>94.985</v>
      </c>
      <c r="E12811" s="5" t="n">
        <v>81.09999999999999</v>
      </c>
      <c r="F12811" s="3" t="inlineStr">
        <is>
          <t>남이면</t>
        </is>
      </c>
      <c r="G12811" s="3" t="inlineStr">
        <is>
          <t>팔봉리</t>
        </is>
      </c>
      <c r="H12811" s="3" t="inlineStr">
        <is>
          <t>단독다가구</t>
        </is>
      </c>
      <c r="I12811" s="3" t="inlineStr">
        <is>
          <t>단독</t>
        </is>
      </c>
      <c r="J12811" s="3" t="inlineStr">
        <is>
          <t>남이면</t>
        </is>
      </c>
    </row>
    <row r="12812">
      <c r="A12812" s="3" t="n">
        <v>2025</v>
      </c>
      <c r="B12812" s="4" t="n">
        <v>5100</v>
      </c>
      <c r="C12812" s="4" t="n">
        <v>221</v>
      </c>
      <c r="D12812" s="4" t="n">
        <v>66.85249999999999</v>
      </c>
      <c r="E12812" s="5" t="n">
        <v>76.3</v>
      </c>
      <c r="F12812" s="3" t="inlineStr">
        <is>
          <t>현도면</t>
        </is>
      </c>
      <c r="G12812" s="3" t="inlineStr">
        <is>
          <t>죽암리</t>
        </is>
      </c>
      <c r="H12812" s="3" t="inlineStr">
        <is>
          <t>단독다가구</t>
        </is>
      </c>
      <c r="I12812" s="3" t="inlineStr">
        <is>
          <t>단독</t>
        </is>
      </c>
      <c r="J12812" s="3" t="inlineStr">
        <is>
          <t>현도면</t>
        </is>
      </c>
    </row>
    <row r="12813">
      <c r="A12813" s="3" t="n">
        <v>2025</v>
      </c>
      <c r="B12813" s="4" t="n">
        <v>33000</v>
      </c>
      <c r="C12813" s="4" t="n">
        <v>532.5599999999999</v>
      </c>
      <c r="D12813" s="4" t="n">
        <v>161.0994</v>
      </c>
      <c r="E12813" s="5" t="n">
        <v>204.8</v>
      </c>
      <c r="F12813" s="3" t="inlineStr">
        <is>
          <t>남이면</t>
        </is>
      </c>
      <c r="G12813" s="3" t="inlineStr">
        <is>
          <t>가좌리</t>
        </is>
      </c>
      <c r="H12813" s="3" t="inlineStr">
        <is>
          <t>단독다가구</t>
        </is>
      </c>
      <c r="I12813" s="3" t="inlineStr">
        <is>
          <t>단독</t>
        </is>
      </c>
      <c r="J12813" s="3" t="inlineStr">
        <is>
          <t>남이면</t>
        </is>
      </c>
    </row>
    <row r="12814">
      <c r="A12814" s="3" t="n">
        <v>2025</v>
      </c>
      <c r="B12814" s="4" t="n">
        <v>25340</v>
      </c>
      <c r="C12814" s="4" t="n">
        <v>515</v>
      </c>
      <c r="D12814" s="4" t="n">
        <v>155.7875</v>
      </c>
      <c r="E12814" s="5" t="n">
        <v>162.7</v>
      </c>
      <c r="F12814" s="3" t="inlineStr">
        <is>
          <t>남이면</t>
        </is>
      </c>
      <c r="G12814" s="3" t="inlineStr">
        <is>
          <t>수대리</t>
        </is>
      </c>
      <c r="H12814" s="3" t="inlineStr">
        <is>
          <t>단독다가구</t>
        </is>
      </c>
      <c r="I12814" s="3" t="inlineStr">
        <is>
          <t>단독</t>
        </is>
      </c>
      <c r="J12814" s="3" t="inlineStr">
        <is>
          <t>남이면</t>
        </is>
      </c>
    </row>
    <row r="12815">
      <c r="A12815" s="3" t="n">
        <v>2025</v>
      </c>
      <c r="B12815" s="4" t="n">
        <v>26000</v>
      </c>
      <c r="C12815" s="4" t="n">
        <v>515</v>
      </c>
      <c r="D12815" s="4" t="n">
        <v>155.7875</v>
      </c>
      <c r="E12815" s="5" t="n">
        <v>166.9</v>
      </c>
      <c r="F12815" s="3" t="inlineStr">
        <is>
          <t>남이면</t>
        </is>
      </c>
      <c r="G12815" s="3" t="inlineStr">
        <is>
          <t>수대리</t>
        </is>
      </c>
      <c r="H12815" s="3" t="inlineStr">
        <is>
          <t>단독다가구</t>
        </is>
      </c>
      <c r="I12815" s="3" t="inlineStr">
        <is>
          <t>단독</t>
        </is>
      </c>
      <c r="J12815" s="3" t="inlineStr">
        <is>
          <t>남이면</t>
        </is>
      </c>
    </row>
    <row r="12816">
      <c r="A12816" s="3" t="n">
        <v>2025</v>
      </c>
      <c r="B12816" s="4" t="n">
        <v>33000</v>
      </c>
      <c r="C12816" s="4" t="n">
        <v>397</v>
      </c>
      <c r="D12816" s="4" t="n">
        <v>120.0925</v>
      </c>
      <c r="E12816" s="5" t="n">
        <v>274.8</v>
      </c>
      <c r="F12816" s="3" t="inlineStr">
        <is>
          <t>남이면</t>
        </is>
      </c>
      <c r="G12816" s="3" t="inlineStr">
        <is>
          <t>가좌리</t>
        </is>
      </c>
      <c r="H12816" s="3" t="inlineStr">
        <is>
          <t>단독다가구</t>
        </is>
      </c>
      <c r="I12816" s="3" t="inlineStr">
        <is>
          <t>단독</t>
        </is>
      </c>
      <c r="J12816" s="3" t="inlineStr">
        <is>
          <t>남이면</t>
        </is>
      </c>
    </row>
    <row r="12817">
      <c r="A12817" s="3" t="n">
        <v>2026</v>
      </c>
      <c r="B12817" s="4" t="n">
        <v>23786</v>
      </c>
      <c r="C12817" s="4" t="n">
        <v>1405</v>
      </c>
      <c r="D12817" s="4" t="n">
        <v>425.0125</v>
      </c>
      <c r="E12817" s="5" t="n">
        <v>56</v>
      </c>
      <c r="F12817" s="3" t="inlineStr">
        <is>
          <t>현도면</t>
        </is>
      </c>
      <c r="G12817" s="3" t="inlineStr">
        <is>
          <t>죽전리</t>
        </is>
      </c>
      <c r="H12817" s="3" t="inlineStr">
        <is>
          <t>단독다가구</t>
        </is>
      </c>
      <c r="I12817" s="3" t="inlineStr">
        <is>
          <t>단독</t>
        </is>
      </c>
      <c r="J12817" s="3" t="inlineStr">
        <is>
          <t>현도면</t>
        </is>
      </c>
    </row>
    <row r="12818">
      <c r="A12818" s="3" t="n">
        <v>2022</v>
      </c>
      <c r="B12818" s="4" t="n">
        <v>47600</v>
      </c>
      <c r="C12818" s="4" t="n">
        <v>396</v>
      </c>
      <c r="D12818" s="4" t="n">
        <v>119.79</v>
      </c>
      <c r="E12818" s="5" t="n">
        <v>397.4</v>
      </c>
      <c r="F12818" s="3" t="inlineStr">
        <is>
          <t>오송읍</t>
        </is>
      </c>
      <c r="G12818" s="3" t="inlineStr">
        <is>
          <t>궁평리</t>
        </is>
      </c>
      <c r="H12818" s="3" t="inlineStr">
        <is>
          <t>단독다가구</t>
        </is>
      </c>
      <c r="I12818" s="3" t="inlineStr">
        <is>
          <t>단독</t>
        </is>
      </c>
      <c r="J12818" s="3" t="inlineStr">
        <is>
          <t>오송읍</t>
        </is>
      </c>
    </row>
    <row r="12819">
      <c r="A12819" s="3" t="n">
        <v>2025</v>
      </c>
      <c r="B12819" s="4" t="n">
        <v>145000</v>
      </c>
      <c r="C12819" s="4" t="n">
        <v>270.1</v>
      </c>
      <c r="D12819" s="4" t="n">
        <v>81.70525000000001</v>
      </c>
      <c r="E12819" s="5" t="n">
        <v>1774.7</v>
      </c>
      <c r="F12819" s="3" t="inlineStr">
        <is>
          <t>오송읍</t>
        </is>
      </c>
      <c r="G12819" s="3" t="inlineStr">
        <is>
          <t>봉산리</t>
        </is>
      </c>
      <c r="H12819" s="3" t="inlineStr">
        <is>
          <t>단독다가구</t>
        </is>
      </c>
      <c r="I12819" s="3" t="inlineStr">
        <is>
          <t>단독</t>
        </is>
      </c>
      <c r="J12819" s="3" t="inlineStr">
        <is>
          <t>오송읍</t>
        </is>
      </c>
    </row>
    <row r="12820">
      <c r="A12820" s="3" t="n">
        <v>2025</v>
      </c>
      <c r="B12820" s="4" t="n">
        <v>125000</v>
      </c>
      <c r="C12820" s="4" t="n">
        <v>241</v>
      </c>
      <c r="D12820" s="4" t="n">
        <v>72.9025</v>
      </c>
      <c r="E12820" s="5" t="n">
        <v>1714.6</v>
      </c>
      <c r="F12820" s="3" t="inlineStr">
        <is>
          <t>오송읍</t>
        </is>
      </c>
      <c r="G12820" s="3" t="inlineStr">
        <is>
          <t>봉산리</t>
        </is>
      </c>
      <c r="H12820" s="3" t="inlineStr">
        <is>
          <t>단독다가구</t>
        </is>
      </c>
      <c r="I12820" s="3" t="inlineStr">
        <is>
          <t>단독</t>
        </is>
      </c>
      <c r="J12820" s="3" t="inlineStr">
        <is>
          <t>오송읍</t>
        </is>
      </c>
    </row>
    <row r="12821">
      <c r="A12821" s="3" t="n">
        <v>2025</v>
      </c>
      <c r="B12821" s="4" t="n">
        <v>53908</v>
      </c>
      <c r="C12821" s="4" t="n">
        <v>496</v>
      </c>
      <c r="D12821" s="4" t="n">
        <v>150.04</v>
      </c>
      <c r="E12821" s="5" t="n">
        <v>359.3</v>
      </c>
      <c r="F12821" s="3" t="inlineStr">
        <is>
          <t>강내면</t>
        </is>
      </c>
      <c r="G12821" s="3" t="inlineStr">
        <is>
          <t>저산리</t>
        </is>
      </c>
      <c r="H12821" s="3" t="inlineStr">
        <is>
          <t>단독다가구</t>
        </is>
      </c>
      <c r="I12821" s="3" t="inlineStr">
        <is>
          <t>단독</t>
        </is>
      </c>
      <c r="J12821" s="3" t="inlineStr">
        <is>
          <t>강내면</t>
        </is>
      </c>
    </row>
    <row r="12822">
      <c r="A12822" s="3" t="n">
        <v>2025</v>
      </c>
      <c r="B12822" s="4" t="n">
        <v>54040</v>
      </c>
      <c r="C12822" s="4" t="n">
        <v>496</v>
      </c>
      <c r="D12822" s="4" t="n">
        <v>150.04</v>
      </c>
      <c r="E12822" s="5" t="n">
        <v>360.2</v>
      </c>
      <c r="F12822" s="3" t="inlineStr">
        <is>
          <t>강내면</t>
        </is>
      </c>
      <c r="G12822" s="3" t="inlineStr">
        <is>
          <t>저산리</t>
        </is>
      </c>
      <c r="H12822" s="3" t="inlineStr">
        <is>
          <t>단독다가구</t>
        </is>
      </c>
      <c r="I12822" s="3" t="inlineStr">
        <is>
          <t>단독</t>
        </is>
      </c>
      <c r="J12822" s="3" t="inlineStr">
        <is>
          <t>강내면</t>
        </is>
      </c>
    </row>
    <row r="12823">
      <c r="A12823" s="3" t="n">
        <v>2025</v>
      </c>
      <c r="B12823" s="4" t="n">
        <v>21500</v>
      </c>
      <c r="C12823" s="4" t="n">
        <v>342</v>
      </c>
      <c r="D12823" s="4" t="n">
        <v>103.455</v>
      </c>
      <c r="E12823" s="5" t="n">
        <v>207.8</v>
      </c>
      <c r="F12823" s="3" t="inlineStr">
        <is>
          <t>오송읍</t>
        </is>
      </c>
      <c r="G12823" s="3" t="inlineStr">
        <is>
          <t>서평리</t>
        </is>
      </c>
      <c r="H12823" s="3" t="inlineStr">
        <is>
          <t>단독다가구</t>
        </is>
      </c>
      <c r="I12823" s="3" t="inlineStr">
        <is>
          <t>단독</t>
        </is>
      </c>
      <c r="J12823" s="3" t="inlineStr">
        <is>
          <t>오송읍</t>
        </is>
      </c>
    </row>
    <row r="12824">
      <c r="A12824" s="3" t="n">
        <v>2025</v>
      </c>
      <c r="B12824" s="4" t="n">
        <v>68500</v>
      </c>
      <c r="C12824" s="4" t="n">
        <v>248.1</v>
      </c>
      <c r="D12824" s="4" t="n">
        <v>75.05024999999999</v>
      </c>
      <c r="E12824" s="5" t="n">
        <v>912.7</v>
      </c>
      <c r="F12824" s="3" t="inlineStr">
        <is>
          <t>오송읍</t>
        </is>
      </c>
      <c r="G12824" s="3" t="inlineStr">
        <is>
          <t>만수리</t>
        </is>
      </c>
      <c r="H12824" s="3" t="inlineStr">
        <is>
          <t>단독다가구</t>
        </is>
      </c>
      <c r="I12824" s="3" t="inlineStr">
        <is>
          <t>다가구</t>
        </is>
      </c>
      <c r="J12824" s="3" t="inlineStr">
        <is>
          <t>오송읍</t>
        </is>
      </c>
    </row>
    <row r="12825">
      <c r="A12825" s="3" t="n">
        <v>2025</v>
      </c>
      <c r="B12825" s="4" t="n">
        <v>59500</v>
      </c>
      <c r="C12825" s="4" t="n">
        <v>258.8</v>
      </c>
      <c r="D12825" s="4" t="n">
        <v>78.28700000000001</v>
      </c>
      <c r="E12825" s="5" t="n">
        <v>760</v>
      </c>
      <c r="F12825" s="3" t="inlineStr">
        <is>
          <t>오송읍</t>
        </is>
      </c>
      <c r="G12825" s="3" t="inlineStr">
        <is>
          <t>만수리</t>
        </is>
      </c>
      <c r="H12825" s="3" t="inlineStr">
        <is>
          <t>단독다가구</t>
        </is>
      </c>
      <c r="I12825" s="3" t="inlineStr">
        <is>
          <t>다가구</t>
        </is>
      </c>
      <c r="J12825" s="3" t="inlineStr">
        <is>
          <t>오송읍</t>
        </is>
      </c>
    </row>
    <row r="12826">
      <c r="A12826" s="3" t="n">
        <v>2025</v>
      </c>
      <c r="B12826" s="4" t="n">
        <v>42000</v>
      </c>
      <c r="C12826" s="4" t="n">
        <v>624</v>
      </c>
      <c r="D12826" s="4" t="n">
        <v>188.76</v>
      </c>
      <c r="E12826" s="5" t="n">
        <v>222.5</v>
      </c>
      <c r="F12826" s="3" t="inlineStr">
        <is>
          <t>강내면</t>
        </is>
      </c>
      <c r="G12826" s="3" t="inlineStr">
        <is>
          <t>다락리</t>
        </is>
      </c>
      <c r="H12826" s="3" t="inlineStr">
        <is>
          <t>단독다가구</t>
        </is>
      </c>
      <c r="I12826" s="3" t="inlineStr">
        <is>
          <t>단독</t>
        </is>
      </c>
      <c r="J12826" s="3" t="inlineStr">
        <is>
          <t>강내면</t>
        </is>
      </c>
    </row>
    <row r="12827">
      <c r="A12827" s="3" t="n">
        <v>2025</v>
      </c>
      <c r="B12827" s="4" t="n">
        <v>62000</v>
      </c>
      <c r="C12827" s="4" t="n">
        <v>330</v>
      </c>
      <c r="D12827" s="4" t="n">
        <v>99.825</v>
      </c>
      <c r="E12827" s="5" t="n">
        <v>621.1</v>
      </c>
      <c r="F12827" s="3" t="inlineStr">
        <is>
          <t>오송읍</t>
        </is>
      </c>
      <c r="G12827" s="3" t="inlineStr">
        <is>
          <t>궁평리</t>
        </is>
      </c>
      <c r="H12827" s="3" t="inlineStr">
        <is>
          <t>단독다가구</t>
        </is>
      </c>
      <c r="I12827" s="3" t="inlineStr">
        <is>
          <t>단독</t>
        </is>
      </c>
      <c r="J12827" s="3" t="inlineStr">
        <is>
          <t>오송읍</t>
        </is>
      </c>
    </row>
    <row r="12828">
      <c r="A12828" s="3" t="n">
        <v>2025</v>
      </c>
      <c r="B12828" s="4" t="n">
        <v>35770</v>
      </c>
      <c r="C12828" s="4" t="n">
        <v>216</v>
      </c>
      <c r="D12828" s="4" t="n">
        <v>65.34</v>
      </c>
      <c r="E12828" s="5" t="n">
        <v>547.4</v>
      </c>
      <c r="F12828" s="3" t="inlineStr">
        <is>
          <t>오송읍</t>
        </is>
      </c>
      <c r="G12828" s="3" t="inlineStr">
        <is>
          <t>궁평리</t>
        </is>
      </c>
      <c r="H12828" s="3" t="inlineStr">
        <is>
          <t>단독다가구</t>
        </is>
      </c>
      <c r="I12828" s="3" t="inlineStr">
        <is>
          <t>단독</t>
        </is>
      </c>
      <c r="J12828" s="3" t="inlineStr">
        <is>
          <t>오송읍</t>
        </is>
      </c>
    </row>
    <row r="12829">
      <c r="A12829" s="3" t="n">
        <v>2025</v>
      </c>
      <c r="B12829" s="4" t="n">
        <v>41337</v>
      </c>
      <c r="C12829" s="4" t="n">
        <v>640</v>
      </c>
      <c r="D12829" s="4" t="n">
        <v>193.6</v>
      </c>
      <c r="E12829" s="5" t="n">
        <v>213.5</v>
      </c>
      <c r="F12829" s="3" t="inlineStr">
        <is>
          <t>강내면</t>
        </is>
      </c>
      <c r="G12829" s="3" t="inlineStr">
        <is>
          <t>다락리</t>
        </is>
      </c>
      <c r="H12829" s="3" t="inlineStr">
        <is>
          <t>단독다가구</t>
        </is>
      </c>
      <c r="I12829" s="3" t="inlineStr">
        <is>
          <t>단독</t>
        </is>
      </c>
      <c r="J12829" s="3" t="inlineStr">
        <is>
          <t>강내면</t>
        </is>
      </c>
    </row>
    <row r="12830">
      <c r="A12830" s="3" t="n">
        <v>2025</v>
      </c>
      <c r="B12830" s="4" t="n">
        <v>25000</v>
      </c>
      <c r="C12830" s="4" t="n">
        <v>353</v>
      </c>
      <c r="D12830" s="4" t="n">
        <v>106.7825</v>
      </c>
      <c r="E12830" s="5" t="n">
        <v>234.1</v>
      </c>
      <c r="F12830" s="3" t="inlineStr">
        <is>
          <t>오송읍</t>
        </is>
      </c>
      <c r="G12830" s="3" t="inlineStr">
        <is>
          <t>정중리</t>
        </is>
      </c>
      <c r="H12830" s="3" t="inlineStr">
        <is>
          <t>단독다가구</t>
        </is>
      </c>
      <c r="I12830" s="3" t="inlineStr">
        <is>
          <t>단독</t>
        </is>
      </c>
      <c r="J12830" s="3" t="inlineStr">
        <is>
          <t>오송읍</t>
        </is>
      </c>
    </row>
    <row r="12831">
      <c r="A12831" s="3" t="n">
        <v>2025</v>
      </c>
      <c r="B12831" s="4" t="n">
        <v>34500</v>
      </c>
      <c r="C12831" s="4" t="n">
        <v>258</v>
      </c>
      <c r="D12831" s="4" t="n">
        <v>78.045</v>
      </c>
      <c r="E12831" s="5" t="n">
        <v>442.1</v>
      </c>
      <c r="F12831" s="3" t="inlineStr">
        <is>
          <t>오송읍</t>
        </is>
      </c>
      <c r="G12831" s="3" t="inlineStr">
        <is>
          <t>오송리</t>
        </is>
      </c>
      <c r="H12831" s="3" t="inlineStr">
        <is>
          <t>단독다가구</t>
        </is>
      </c>
      <c r="I12831" s="3" t="inlineStr">
        <is>
          <t>단독</t>
        </is>
      </c>
      <c r="J12831" s="3" t="inlineStr">
        <is>
          <t>오송읍</t>
        </is>
      </c>
    </row>
    <row r="12832">
      <c r="A12832" s="3" t="n">
        <v>2022</v>
      </c>
      <c r="B12832" s="4" t="n">
        <v>58000</v>
      </c>
      <c r="C12832" s="4" t="n">
        <v>593.1</v>
      </c>
      <c r="D12832" s="4" t="n">
        <v>179.41275</v>
      </c>
      <c r="E12832" s="5" t="n">
        <v>323.3</v>
      </c>
      <c r="F12832" s="3" t="inlineStr">
        <is>
          <t>강내면</t>
        </is>
      </c>
      <c r="G12832" s="3" t="inlineStr">
        <is>
          <t>사곡리</t>
        </is>
      </c>
      <c r="H12832" s="3" t="inlineStr">
        <is>
          <t>단독다가구</t>
        </is>
      </c>
      <c r="I12832" s="3" t="inlineStr">
        <is>
          <t>단독</t>
        </is>
      </c>
      <c r="J12832" s="3" t="inlineStr">
        <is>
          <t>강내면</t>
        </is>
      </c>
    </row>
    <row r="12833">
      <c r="A12833" s="3" t="n">
        <v>2022</v>
      </c>
      <c r="B12833" s="4" t="n">
        <v>30000</v>
      </c>
      <c r="C12833" s="4" t="n">
        <v>340</v>
      </c>
      <c r="D12833" s="4" t="n">
        <v>102.85</v>
      </c>
      <c r="E12833" s="5" t="n">
        <v>291.7</v>
      </c>
      <c r="F12833" s="3" t="inlineStr">
        <is>
          <t>오송읍</t>
        </is>
      </c>
      <c r="G12833" s="3" t="inlineStr">
        <is>
          <t>쌍청리</t>
        </is>
      </c>
      <c r="H12833" s="3" t="inlineStr">
        <is>
          <t>단독다가구</t>
        </is>
      </c>
      <c r="I12833" s="3" t="inlineStr">
        <is>
          <t>단독</t>
        </is>
      </c>
      <c r="J12833" s="3" t="inlineStr">
        <is>
          <t>오송읍</t>
        </is>
      </c>
    </row>
    <row r="12834">
      <c r="A12834" s="3" t="n">
        <v>2022</v>
      </c>
      <c r="B12834" s="4" t="n">
        <v>60000</v>
      </c>
      <c r="C12834" s="4" t="n">
        <v>330</v>
      </c>
      <c r="D12834" s="4" t="n">
        <v>99.825</v>
      </c>
      <c r="E12834" s="5" t="n">
        <v>601.1</v>
      </c>
      <c r="F12834" s="3" t="inlineStr">
        <is>
          <t>오송읍</t>
        </is>
      </c>
      <c r="G12834" s="3" t="inlineStr">
        <is>
          <t>궁평리</t>
        </is>
      </c>
      <c r="H12834" s="3" t="inlineStr">
        <is>
          <t>단독다가구</t>
        </is>
      </c>
      <c r="I12834" s="3" t="inlineStr">
        <is>
          <t>단독</t>
        </is>
      </c>
      <c r="J12834" s="3" t="inlineStr">
        <is>
          <t>오송읍</t>
        </is>
      </c>
    </row>
    <row r="12835">
      <c r="A12835" s="3" t="n">
        <v>2022</v>
      </c>
      <c r="B12835" s="4" t="n">
        <v>71500</v>
      </c>
      <c r="C12835" s="4" t="n">
        <v>265</v>
      </c>
      <c r="D12835" s="4" t="n">
        <v>80.16249999999999</v>
      </c>
      <c r="E12835" s="5" t="n">
        <v>891.9</v>
      </c>
      <c r="F12835" s="3" t="inlineStr">
        <is>
          <t>오송읍</t>
        </is>
      </c>
      <c r="G12835" s="3" t="inlineStr">
        <is>
          <t>연제리</t>
        </is>
      </c>
      <c r="H12835" s="3" t="inlineStr">
        <is>
          <t>단독다가구</t>
        </is>
      </c>
      <c r="I12835" s="3" t="inlineStr">
        <is>
          <t>단독</t>
        </is>
      </c>
      <c r="J12835" s="3" t="inlineStr">
        <is>
          <t>오송읍</t>
        </is>
      </c>
    </row>
    <row r="12836">
      <c r="A12836" s="3" t="n">
        <v>2022</v>
      </c>
      <c r="B12836" s="4" t="n">
        <v>73000</v>
      </c>
      <c r="C12836" s="4" t="n">
        <v>291.1</v>
      </c>
      <c r="D12836" s="4" t="n">
        <v>88.05775</v>
      </c>
      <c r="E12836" s="5" t="n">
        <v>829</v>
      </c>
      <c r="F12836" s="3" t="inlineStr">
        <is>
          <t>오송읍</t>
        </is>
      </c>
      <c r="G12836" s="3" t="inlineStr">
        <is>
          <t>만수리</t>
        </is>
      </c>
      <c r="H12836" s="3" t="inlineStr">
        <is>
          <t>단독다가구</t>
        </is>
      </c>
      <c r="I12836" s="3" t="inlineStr">
        <is>
          <t>다가구</t>
        </is>
      </c>
      <c r="J12836" s="3" t="inlineStr">
        <is>
          <t>오송읍</t>
        </is>
      </c>
    </row>
    <row r="12837">
      <c r="A12837" s="3" t="n">
        <v>2022</v>
      </c>
      <c r="B12837" s="4" t="n">
        <v>31900</v>
      </c>
      <c r="C12837" s="4" t="n">
        <v>1055</v>
      </c>
      <c r="D12837" s="4" t="n">
        <v>319.1375</v>
      </c>
      <c r="E12837" s="5" t="n">
        <v>100</v>
      </c>
      <c r="F12837" s="3" t="inlineStr">
        <is>
          <t>강내면</t>
        </is>
      </c>
      <c r="G12837" s="3" t="inlineStr">
        <is>
          <t>산단리</t>
        </is>
      </c>
      <c r="H12837" s="3" t="inlineStr">
        <is>
          <t>단독다가구</t>
        </is>
      </c>
      <c r="I12837" s="3" t="inlineStr">
        <is>
          <t>단독</t>
        </is>
      </c>
      <c r="J12837" s="3" t="inlineStr">
        <is>
          <t>강내면</t>
        </is>
      </c>
    </row>
    <row r="12838">
      <c r="A12838" s="3" t="n">
        <v>2022</v>
      </c>
      <c r="B12838" s="4" t="n">
        <v>169500</v>
      </c>
      <c r="C12838" s="4" t="n">
        <v>275.4</v>
      </c>
      <c r="D12838" s="4" t="n">
        <v>83.3085</v>
      </c>
      <c r="E12838" s="5" t="n">
        <v>2034.6</v>
      </c>
      <c r="F12838" s="3" t="inlineStr">
        <is>
          <t>오송읍</t>
        </is>
      </c>
      <c r="G12838" s="3" t="inlineStr">
        <is>
          <t>봉산리</t>
        </is>
      </c>
      <c r="H12838" s="3" t="inlineStr">
        <is>
          <t>단독다가구</t>
        </is>
      </c>
      <c r="I12838" s="3" t="inlineStr">
        <is>
          <t>다가구</t>
        </is>
      </c>
      <c r="J12838" s="3" t="inlineStr">
        <is>
          <t>오송읍</t>
        </is>
      </c>
    </row>
    <row r="12839">
      <c r="A12839" s="3" t="n">
        <v>2022</v>
      </c>
      <c r="B12839" s="4" t="n">
        <v>60000</v>
      </c>
      <c r="C12839" s="4" t="n">
        <v>258.7</v>
      </c>
      <c r="D12839" s="4" t="n">
        <v>78.25675</v>
      </c>
      <c r="E12839" s="5" t="n">
        <v>766.7</v>
      </c>
      <c r="F12839" s="3" t="inlineStr">
        <is>
          <t>오송읍</t>
        </is>
      </c>
      <c r="G12839" s="3" t="inlineStr">
        <is>
          <t>만수리</t>
        </is>
      </c>
      <c r="H12839" s="3" t="inlineStr">
        <is>
          <t>단독다가구</t>
        </is>
      </c>
      <c r="I12839" s="3" t="inlineStr">
        <is>
          <t>다가구</t>
        </is>
      </c>
      <c r="J12839" s="3" t="inlineStr">
        <is>
          <t>오송읍</t>
        </is>
      </c>
    </row>
    <row r="12840">
      <c r="A12840" s="3" t="n">
        <v>2022</v>
      </c>
      <c r="B12840" s="4" t="n">
        <v>87100</v>
      </c>
      <c r="C12840" s="4" t="n">
        <v>1614</v>
      </c>
      <c r="D12840" s="4" t="n">
        <v>488.235</v>
      </c>
      <c r="E12840" s="5" t="n">
        <v>178.4</v>
      </c>
      <c r="F12840" s="3" t="inlineStr">
        <is>
          <t>오송읍</t>
        </is>
      </c>
      <c r="G12840" s="3" t="inlineStr">
        <is>
          <t>쌍청리</t>
        </is>
      </c>
      <c r="H12840" s="3" t="inlineStr">
        <is>
          <t>단독다가구</t>
        </is>
      </c>
      <c r="I12840" s="3" t="inlineStr">
        <is>
          <t>단독</t>
        </is>
      </c>
      <c r="J12840" s="3" t="inlineStr">
        <is>
          <t>오송읍</t>
        </is>
      </c>
    </row>
    <row r="12841">
      <c r="A12841" s="3" t="n">
        <v>2023</v>
      </c>
      <c r="B12841" s="4" t="n">
        <v>130000</v>
      </c>
      <c r="C12841" s="4" t="n">
        <v>238.1</v>
      </c>
      <c r="D12841" s="4" t="n">
        <v>72.02525</v>
      </c>
      <c r="E12841" s="5" t="n">
        <v>1804.9</v>
      </c>
      <c r="F12841" s="3" t="inlineStr">
        <is>
          <t>오송읍</t>
        </is>
      </c>
      <c r="G12841" s="3" t="inlineStr">
        <is>
          <t>봉산리</t>
        </is>
      </c>
      <c r="H12841" s="3" t="inlineStr">
        <is>
          <t>단독다가구</t>
        </is>
      </c>
      <c r="I12841" s="3" t="inlineStr">
        <is>
          <t>다가구</t>
        </is>
      </c>
      <c r="J12841" s="3" t="inlineStr">
        <is>
          <t>오송읍</t>
        </is>
      </c>
    </row>
    <row r="12842">
      <c r="A12842" s="3" t="n">
        <v>2023</v>
      </c>
      <c r="B12842" s="4" t="n">
        <v>8950</v>
      </c>
      <c r="C12842" s="4" t="n">
        <v>220</v>
      </c>
      <c r="D12842" s="4" t="n">
        <v>66.55</v>
      </c>
      <c r="E12842" s="5" t="n">
        <v>134.5</v>
      </c>
      <c r="F12842" s="3" t="inlineStr">
        <is>
          <t>강내면</t>
        </is>
      </c>
      <c r="G12842" s="3" t="inlineStr">
        <is>
          <t>다락리</t>
        </is>
      </c>
      <c r="H12842" s="3" t="inlineStr">
        <is>
          <t>단독다가구</t>
        </is>
      </c>
      <c r="I12842" s="3" t="inlineStr">
        <is>
          <t>단독</t>
        </is>
      </c>
      <c r="J12842" s="3" t="inlineStr">
        <is>
          <t>강내면</t>
        </is>
      </c>
    </row>
    <row r="12843">
      <c r="A12843" s="3" t="n">
        <v>2023</v>
      </c>
      <c r="B12843" s="4" t="n">
        <v>63500</v>
      </c>
      <c r="C12843" s="4" t="n">
        <v>240.1</v>
      </c>
      <c r="D12843" s="4" t="n">
        <v>72.63024999999999</v>
      </c>
      <c r="E12843" s="5" t="n">
        <v>874.3</v>
      </c>
      <c r="F12843" s="3" t="inlineStr">
        <is>
          <t>오송읍</t>
        </is>
      </c>
      <c r="G12843" s="3" t="inlineStr">
        <is>
          <t>만수리</t>
        </is>
      </c>
      <c r="H12843" s="3" t="inlineStr">
        <is>
          <t>단독다가구</t>
        </is>
      </c>
      <c r="I12843" s="3" t="inlineStr">
        <is>
          <t>단독</t>
        </is>
      </c>
      <c r="J12843" s="3" t="inlineStr">
        <is>
          <t>오송읍</t>
        </is>
      </c>
    </row>
    <row r="12844">
      <c r="A12844" s="3" t="n">
        <v>2023</v>
      </c>
      <c r="B12844" s="4" t="n">
        <v>28114</v>
      </c>
      <c r="C12844" s="4" t="n">
        <v>485</v>
      </c>
      <c r="D12844" s="4" t="n">
        <v>146.7125</v>
      </c>
      <c r="E12844" s="5" t="n">
        <v>191.6</v>
      </c>
      <c r="F12844" s="3" t="inlineStr">
        <is>
          <t>오송읍</t>
        </is>
      </c>
      <c r="G12844" s="3" t="inlineStr">
        <is>
          <t>상정리</t>
        </is>
      </c>
      <c r="H12844" s="3" t="inlineStr">
        <is>
          <t>단독다가구</t>
        </is>
      </c>
      <c r="I12844" s="3" t="inlineStr">
        <is>
          <t>단독</t>
        </is>
      </c>
      <c r="J12844" s="3" t="inlineStr">
        <is>
          <t>오송읍</t>
        </is>
      </c>
    </row>
    <row r="12845">
      <c r="A12845" s="3" t="n">
        <v>2023</v>
      </c>
      <c r="B12845" s="4" t="n">
        <v>9800</v>
      </c>
      <c r="C12845" s="4" t="n">
        <v>158</v>
      </c>
      <c r="D12845" s="4" t="n">
        <v>47.795</v>
      </c>
      <c r="E12845" s="5" t="n">
        <v>205</v>
      </c>
      <c r="F12845" s="3" t="inlineStr">
        <is>
          <t>오송읍</t>
        </is>
      </c>
      <c r="G12845" s="3" t="inlineStr">
        <is>
          <t>연제리</t>
        </is>
      </c>
      <c r="H12845" s="3" t="inlineStr">
        <is>
          <t>단독다가구</t>
        </is>
      </c>
      <c r="I12845" s="3" t="inlineStr">
        <is>
          <t>단독</t>
        </is>
      </c>
      <c r="J12845" s="3" t="inlineStr">
        <is>
          <t>오송읍</t>
        </is>
      </c>
    </row>
    <row r="12846">
      <c r="A12846" s="3" t="n">
        <v>2023</v>
      </c>
      <c r="B12846" s="4" t="n">
        <v>36800</v>
      </c>
      <c r="C12846" s="4" t="n">
        <v>560</v>
      </c>
      <c r="D12846" s="4" t="n">
        <v>169.4</v>
      </c>
      <c r="E12846" s="5" t="n">
        <v>217.2</v>
      </c>
      <c r="F12846" s="3" t="inlineStr">
        <is>
          <t>오송읍</t>
        </is>
      </c>
      <c r="G12846" s="3" t="inlineStr">
        <is>
          <t>상정리</t>
        </is>
      </c>
      <c r="H12846" s="3" t="inlineStr">
        <is>
          <t>단독다가구</t>
        </is>
      </c>
      <c r="I12846" s="3" t="inlineStr">
        <is>
          <t>단독</t>
        </is>
      </c>
      <c r="J12846" s="3" t="inlineStr">
        <is>
          <t>오송읍</t>
        </is>
      </c>
    </row>
    <row r="12847">
      <c r="A12847" s="3" t="n">
        <v>2023</v>
      </c>
      <c r="B12847" s="4" t="n">
        <v>80500</v>
      </c>
      <c r="C12847" s="4" t="n">
        <v>428</v>
      </c>
      <c r="D12847" s="4" t="n">
        <v>129.47</v>
      </c>
      <c r="E12847" s="5" t="n">
        <v>621.8</v>
      </c>
      <c r="F12847" s="3" t="inlineStr">
        <is>
          <t>강내면</t>
        </is>
      </c>
      <c r="G12847" s="3" t="inlineStr">
        <is>
          <t>월탄리</t>
        </is>
      </c>
      <c r="H12847" s="3" t="inlineStr">
        <is>
          <t>단독다가구</t>
        </is>
      </c>
      <c r="I12847" s="3" t="inlineStr">
        <is>
          <t>단독</t>
        </is>
      </c>
      <c r="J12847" s="3" t="inlineStr">
        <is>
          <t>강내면</t>
        </is>
      </c>
    </row>
    <row r="12848">
      <c r="A12848" s="3" t="n">
        <v>2023</v>
      </c>
      <c r="B12848" s="4" t="n">
        <v>21000</v>
      </c>
      <c r="C12848" s="4" t="n">
        <v>225</v>
      </c>
      <c r="D12848" s="4" t="n">
        <v>68.0625</v>
      </c>
      <c r="E12848" s="5" t="n">
        <v>308.5</v>
      </c>
      <c r="F12848" s="3" t="inlineStr">
        <is>
          <t>오송읍</t>
        </is>
      </c>
      <c r="G12848" s="3" t="inlineStr">
        <is>
          <t>동평리</t>
        </is>
      </c>
      <c r="H12848" s="3" t="inlineStr">
        <is>
          <t>단독다가구</t>
        </is>
      </c>
      <c r="I12848" s="3" t="inlineStr">
        <is>
          <t>단독</t>
        </is>
      </c>
      <c r="J12848" s="3" t="inlineStr">
        <is>
          <t>오송읍</t>
        </is>
      </c>
    </row>
    <row r="12849">
      <c r="A12849" s="3" t="n">
        <v>2023</v>
      </c>
      <c r="B12849" s="4" t="n">
        <v>20000</v>
      </c>
      <c r="C12849" s="4" t="n">
        <v>176</v>
      </c>
      <c r="D12849" s="4" t="n">
        <v>53.23999999999999</v>
      </c>
      <c r="E12849" s="5" t="n">
        <v>375.7</v>
      </c>
      <c r="F12849" s="3" t="inlineStr">
        <is>
          <t>오송읍</t>
        </is>
      </c>
      <c r="G12849" s="3" t="inlineStr">
        <is>
          <t>오송리</t>
        </is>
      </c>
      <c r="H12849" s="3" t="inlineStr">
        <is>
          <t>단독다가구</t>
        </is>
      </c>
      <c r="I12849" s="3" t="inlineStr">
        <is>
          <t>단독</t>
        </is>
      </c>
      <c r="J12849" s="3" t="inlineStr">
        <is>
          <t>오송읍</t>
        </is>
      </c>
    </row>
    <row r="12850">
      <c r="A12850" s="3" t="n">
        <v>2023</v>
      </c>
      <c r="B12850" s="4" t="n">
        <v>50000</v>
      </c>
      <c r="C12850" s="4" t="n">
        <v>407</v>
      </c>
      <c r="D12850" s="4" t="n">
        <v>123.1175</v>
      </c>
      <c r="E12850" s="5" t="n">
        <v>406.1</v>
      </c>
      <c r="F12850" s="3" t="inlineStr">
        <is>
          <t>오송읍</t>
        </is>
      </c>
      <c r="G12850" s="3" t="inlineStr">
        <is>
          <t>궁평리</t>
        </is>
      </c>
      <c r="H12850" s="3" t="inlineStr">
        <is>
          <t>단독다가구</t>
        </is>
      </c>
      <c r="I12850" s="3" t="inlineStr">
        <is>
          <t>단독</t>
        </is>
      </c>
      <c r="J12850" s="3" t="inlineStr">
        <is>
          <t>오송읍</t>
        </is>
      </c>
    </row>
    <row r="12851">
      <c r="A12851" s="3" t="n">
        <v>2023</v>
      </c>
      <c r="B12851" s="4" t="n">
        <v>168700</v>
      </c>
      <c r="C12851" s="4" t="n">
        <v>1566</v>
      </c>
      <c r="D12851" s="4" t="n">
        <v>473.715</v>
      </c>
      <c r="E12851" s="5" t="n">
        <v>356.1</v>
      </c>
      <c r="F12851" s="3" t="inlineStr">
        <is>
          <t>오송읍</t>
        </is>
      </c>
      <c r="G12851" s="3" t="inlineStr">
        <is>
          <t>연제리</t>
        </is>
      </c>
      <c r="H12851" s="3" t="inlineStr">
        <is>
          <t>단독다가구</t>
        </is>
      </c>
      <c r="I12851" s="3" t="inlineStr">
        <is>
          <t>단독</t>
        </is>
      </c>
      <c r="J12851" s="3" t="inlineStr">
        <is>
          <t>오송읍</t>
        </is>
      </c>
    </row>
    <row r="12852">
      <c r="A12852" s="3" t="n">
        <v>2023</v>
      </c>
      <c r="B12852" s="4" t="n">
        <v>72700</v>
      </c>
      <c r="C12852" s="4" t="n">
        <v>290.9</v>
      </c>
      <c r="D12852" s="4" t="n">
        <v>87.99724999999999</v>
      </c>
      <c r="E12852" s="5" t="n">
        <v>826.2</v>
      </c>
      <c r="F12852" s="3" t="inlineStr">
        <is>
          <t>오송읍</t>
        </is>
      </c>
      <c r="G12852" s="3" t="inlineStr">
        <is>
          <t>연제리</t>
        </is>
      </c>
      <c r="H12852" s="3" t="inlineStr">
        <is>
          <t>단독다가구</t>
        </is>
      </c>
      <c r="I12852" s="3" t="inlineStr">
        <is>
          <t>다가구</t>
        </is>
      </c>
      <c r="J12852" s="3" t="inlineStr">
        <is>
          <t>오송읍</t>
        </is>
      </c>
    </row>
    <row r="12853">
      <c r="A12853" s="3" t="n">
        <v>2023</v>
      </c>
      <c r="B12853" s="4" t="n">
        <v>38550</v>
      </c>
      <c r="C12853" s="4" t="n">
        <v>649</v>
      </c>
      <c r="D12853" s="4" t="n">
        <v>196.3225</v>
      </c>
      <c r="E12853" s="5" t="n">
        <v>196.4</v>
      </c>
      <c r="F12853" s="3" t="inlineStr">
        <is>
          <t>강내면</t>
        </is>
      </c>
      <c r="G12853" s="3" t="inlineStr">
        <is>
          <t>다락리</t>
        </is>
      </c>
      <c r="H12853" s="3" t="inlineStr">
        <is>
          <t>단독다가구</t>
        </is>
      </c>
      <c r="I12853" s="3" t="inlineStr">
        <is>
          <t>단독</t>
        </is>
      </c>
      <c r="J12853" s="3" t="inlineStr">
        <is>
          <t>강내면</t>
        </is>
      </c>
    </row>
    <row r="12854">
      <c r="A12854" s="3" t="n">
        <v>2023</v>
      </c>
      <c r="B12854" s="4" t="n">
        <v>58000</v>
      </c>
      <c r="C12854" s="4" t="n">
        <v>263.7</v>
      </c>
      <c r="D12854" s="4" t="n">
        <v>79.76925</v>
      </c>
      <c r="E12854" s="5" t="n">
        <v>727.1</v>
      </c>
      <c r="F12854" s="3" t="inlineStr">
        <is>
          <t>오송읍</t>
        </is>
      </c>
      <c r="G12854" s="3" t="inlineStr">
        <is>
          <t>만수리</t>
        </is>
      </c>
      <c r="H12854" s="3" t="inlineStr">
        <is>
          <t>단독다가구</t>
        </is>
      </c>
      <c r="I12854" s="3" t="inlineStr">
        <is>
          <t>다가구</t>
        </is>
      </c>
      <c r="J12854" s="3" t="inlineStr">
        <is>
          <t>오송읍</t>
        </is>
      </c>
    </row>
    <row r="12855">
      <c r="A12855" s="3" t="n">
        <v>2023</v>
      </c>
      <c r="B12855" s="4" t="n">
        <v>80700</v>
      </c>
      <c r="C12855" s="4" t="n">
        <v>595</v>
      </c>
      <c r="D12855" s="4" t="n">
        <v>179.9875</v>
      </c>
      <c r="E12855" s="5" t="n">
        <v>448.4</v>
      </c>
      <c r="F12855" s="3" t="inlineStr">
        <is>
          <t>남이면</t>
        </is>
      </c>
      <c r="G12855" s="3" t="inlineStr">
        <is>
          <t>석판리</t>
        </is>
      </c>
      <c r="H12855" s="3" t="inlineStr">
        <is>
          <t>단독다가구</t>
        </is>
      </c>
      <c r="I12855" s="3" t="inlineStr">
        <is>
          <t>단독</t>
        </is>
      </c>
      <c r="J12855" s="3" t="inlineStr">
        <is>
          <t>남이면</t>
        </is>
      </c>
    </row>
    <row r="12856">
      <c r="A12856" s="3" t="n">
        <v>2023</v>
      </c>
      <c r="B12856" s="4" t="n">
        <v>82500</v>
      </c>
      <c r="C12856" s="4" t="n">
        <v>595</v>
      </c>
      <c r="D12856" s="4" t="n">
        <v>179.9875</v>
      </c>
      <c r="E12856" s="5" t="n">
        <v>458.4</v>
      </c>
      <c r="F12856" s="3" t="inlineStr">
        <is>
          <t>남이면</t>
        </is>
      </c>
      <c r="G12856" s="3" t="inlineStr">
        <is>
          <t>석판리</t>
        </is>
      </c>
      <c r="H12856" s="3" t="inlineStr">
        <is>
          <t>단독다가구</t>
        </is>
      </c>
      <c r="I12856" s="3" t="inlineStr">
        <is>
          <t>단독</t>
        </is>
      </c>
      <c r="J12856" s="3" t="inlineStr">
        <is>
          <t>남이면</t>
        </is>
      </c>
    </row>
    <row r="12857">
      <c r="A12857" s="3" t="n">
        <v>2023</v>
      </c>
      <c r="B12857" s="4" t="n">
        <v>28700</v>
      </c>
      <c r="C12857" s="4" t="n">
        <v>543</v>
      </c>
      <c r="D12857" s="4" t="n">
        <v>164.2575</v>
      </c>
      <c r="E12857" s="5" t="n">
        <v>174.7</v>
      </c>
      <c r="F12857" s="3" t="inlineStr">
        <is>
          <t>남이면</t>
        </is>
      </c>
      <c r="G12857" s="3" t="inlineStr">
        <is>
          <t>팔봉리</t>
        </is>
      </c>
      <c r="H12857" s="3" t="inlineStr">
        <is>
          <t>단독다가구</t>
        </is>
      </c>
      <c r="I12857" s="3" t="inlineStr">
        <is>
          <t>단독</t>
        </is>
      </c>
      <c r="J12857" s="3" t="inlineStr">
        <is>
          <t>남이면</t>
        </is>
      </c>
    </row>
    <row r="12858">
      <c r="A12858" s="3" t="n">
        <v>2023</v>
      </c>
      <c r="B12858" s="4" t="n">
        <v>13100</v>
      </c>
      <c r="C12858" s="4" t="n">
        <v>189</v>
      </c>
      <c r="D12858" s="4" t="n">
        <v>57.1725</v>
      </c>
      <c r="E12858" s="5" t="n">
        <v>229.1</v>
      </c>
      <c r="F12858" s="3" t="inlineStr">
        <is>
          <t>남이면</t>
        </is>
      </c>
      <c r="G12858" s="3" t="inlineStr">
        <is>
          <t>대련리</t>
        </is>
      </c>
      <c r="H12858" s="3" t="inlineStr">
        <is>
          <t>단독다가구</t>
        </is>
      </c>
      <c r="I12858" s="3" t="inlineStr">
        <is>
          <t>단독</t>
        </is>
      </c>
      <c r="J12858" s="3" t="inlineStr">
        <is>
          <t>남이면</t>
        </is>
      </c>
    </row>
    <row r="12859">
      <c r="A12859" s="3" t="n">
        <v>2023</v>
      </c>
      <c r="B12859" s="4" t="n">
        <v>10535</v>
      </c>
      <c r="C12859" s="4" t="n">
        <v>532</v>
      </c>
      <c r="D12859" s="4" t="n">
        <v>160.93</v>
      </c>
      <c r="E12859" s="5" t="n">
        <v>65.5</v>
      </c>
      <c r="F12859" s="3" t="inlineStr">
        <is>
          <t>남이면</t>
        </is>
      </c>
      <c r="G12859" s="3" t="inlineStr">
        <is>
          <t>석판리</t>
        </is>
      </c>
      <c r="H12859" s="3" t="inlineStr">
        <is>
          <t>단독다가구</t>
        </is>
      </c>
      <c r="I12859" s="3" t="inlineStr">
        <is>
          <t>단독</t>
        </is>
      </c>
      <c r="J12859" s="3" t="inlineStr">
        <is>
          <t>남이면</t>
        </is>
      </c>
    </row>
    <row r="12860">
      <c r="A12860" s="3" t="n">
        <v>2023</v>
      </c>
      <c r="B12860" s="4" t="n">
        <v>10400</v>
      </c>
      <c r="C12860" s="4" t="n">
        <v>1553</v>
      </c>
      <c r="D12860" s="4" t="n">
        <v>469.7825</v>
      </c>
      <c r="E12860" s="5" t="n">
        <v>22.1</v>
      </c>
      <c r="F12860" s="3" t="inlineStr">
        <is>
          <t>현도면</t>
        </is>
      </c>
      <c r="G12860" s="3" t="inlineStr">
        <is>
          <t>시목리</t>
        </is>
      </c>
      <c r="H12860" s="3" t="inlineStr">
        <is>
          <t>단독다가구</t>
        </is>
      </c>
      <c r="I12860" s="3" t="inlineStr">
        <is>
          <t>단독</t>
        </is>
      </c>
      <c r="J12860" s="3" t="inlineStr">
        <is>
          <t>현도면</t>
        </is>
      </c>
    </row>
    <row r="12861">
      <c r="A12861" s="3" t="n">
        <v>2023</v>
      </c>
      <c r="B12861" s="4" t="n">
        <v>5000</v>
      </c>
      <c r="C12861" s="4" t="n">
        <v>258</v>
      </c>
      <c r="D12861" s="4" t="n">
        <v>78.045</v>
      </c>
      <c r="E12861" s="5" t="n">
        <v>64.09999999999999</v>
      </c>
      <c r="F12861" s="3" t="inlineStr">
        <is>
          <t>현도면</t>
        </is>
      </c>
      <c r="G12861" s="3" t="inlineStr">
        <is>
          <t>시동리</t>
        </is>
      </c>
      <c r="H12861" s="3" t="inlineStr">
        <is>
          <t>단독다가구</t>
        </is>
      </c>
      <c r="I12861" s="3" t="inlineStr">
        <is>
          <t>단독</t>
        </is>
      </c>
      <c r="J12861" s="3" t="inlineStr">
        <is>
          <t>현도면</t>
        </is>
      </c>
    </row>
    <row r="12862">
      <c r="A12862" s="3" t="n">
        <v>2023</v>
      </c>
      <c r="B12862" s="4" t="n">
        <v>36200</v>
      </c>
      <c r="C12862" s="4" t="n">
        <v>568</v>
      </c>
      <c r="D12862" s="4" t="n">
        <v>171.82</v>
      </c>
      <c r="E12862" s="5" t="n">
        <v>210.7</v>
      </c>
      <c r="F12862" s="3" t="inlineStr">
        <is>
          <t>남이면</t>
        </is>
      </c>
      <c r="G12862" s="3" t="inlineStr">
        <is>
          <t>가좌리</t>
        </is>
      </c>
      <c r="H12862" s="3" t="inlineStr">
        <is>
          <t>단독다가구</t>
        </is>
      </c>
      <c r="I12862" s="3" t="inlineStr">
        <is>
          <t>단독</t>
        </is>
      </c>
      <c r="J12862" s="3" t="inlineStr">
        <is>
          <t>남이면</t>
        </is>
      </c>
    </row>
    <row r="12863">
      <c r="A12863" s="3" t="n">
        <v>2022</v>
      </c>
      <c r="B12863" s="4" t="n">
        <v>51500</v>
      </c>
      <c r="C12863" s="4" t="n">
        <v>530</v>
      </c>
      <c r="D12863" s="4" t="n">
        <v>160.325</v>
      </c>
      <c r="E12863" s="5" t="n">
        <v>321.2</v>
      </c>
      <c r="F12863" s="3" t="inlineStr">
        <is>
          <t>남이면</t>
        </is>
      </c>
      <c r="G12863" s="3" t="inlineStr">
        <is>
          <t>상발리</t>
        </is>
      </c>
      <c r="H12863" s="3" t="inlineStr">
        <is>
          <t>단독다가구</t>
        </is>
      </c>
      <c r="I12863" s="3" t="inlineStr">
        <is>
          <t>단독</t>
        </is>
      </c>
      <c r="J12863" s="3" t="inlineStr">
        <is>
          <t>남이면</t>
        </is>
      </c>
    </row>
    <row r="12864">
      <c r="A12864" s="3" t="n">
        <v>2022</v>
      </c>
      <c r="B12864" s="4" t="n">
        <v>66500</v>
      </c>
      <c r="C12864" s="4" t="n">
        <v>665</v>
      </c>
      <c r="D12864" s="4" t="n">
        <v>201.1625</v>
      </c>
      <c r="E12864" s="5" t="n">
        <v>330.6</v>
      </c>
      <c r="F12864" s="3" t="inlineStr">
        <is>
          <t>남이면</t>
        </is>
      </c>
      <c r="G12864" s="3" t="inlineStr">
        <is>
          <t>석판리</t>
        </is>
      </c>
      <c r="H12864" s="3" t="inlineStr">
        <is>
          <t>단독다가구</t>
        </is>
      </c>
      <c r="I12864" s="3" t="inlineStr">
        <is>
          <t>단독</t>
        </is>
      </c>
      <c r="J12864" s="3" t="inlineStr">
        <is>
          <t>남이면</t>
        </is>
      </c>
    </row>
    <row r="12865">
      <c r="A12865" s="3" t="n">
        <v>2022</v>
      </c>
      <c r="B12865" s="4" t="n">
        <v>6500</v>
      </c>
      <c r="C12865" s="4" t="n">
        <v>396</v>
      </c>
      <c r="D12865" s="4" t="n">
        <v>119.79</v>
      </c>
      <c r="E12865" s="5" t="n">
        <v>54.3</v>
      </c>
      <c r="F12865" s="3" t="inlineStr">
        <is>
          <t>현도면</t>
        </is>
      </c>
      <c r="G12865" s="3" t="inlineStr">
        <is>
          <t>죽전리</t>
        </is>
      </c>
      <c r="H12865" s="3" t="inlineStr">
        <is>
          <t>단독다가구</t>
        </is>
      </c>
      <c r="I12865" s="3" t="inlineStr">
        <is>
          <t>단독</t>
        </is>
      </c>
      <c r="J12865" s="3" t="inlineStr">
        <is>
          <t>현도면</t>
        </is>
      </c>
    </row>
    <row r="12866">
      <c r="A12866" s="3" t="n">
        <v>2022</v>
      </c>
      <c r="B12866" s="4" t="n">
        <v>70800</v>
      </c>
      <c r="C12866" s="4" t="n">
        <v>629</v>
      </c>
      <c r="D12866" s="4" t="n">
        <v>190.2725</v>
      </c>
      <c r="E12866" s="5" t="n">
        <v>372.1</v>
      </c>
      <c r="F12866" s="3" t="inlineStr">
        <is>
          <t>남이면</t>
        </is>
      </c>
      <c r="G12866" s="3" t="inlineStr">
        <is>
          <t>석판리</t>
        </is>
      </c>
      <c r="H12866" s="3" t="inlineStr">
        <is>
          <t>단독다가구</t>
        </is>
      </c>
      <c r="I12866" s="3" t="inlineStr">
        <is>
          <t>단독</t>
        </is>
      </c>
      <c r="J12866" s="3" t="inlineStr">
        <is>
          <t>남이면</t>
        </is>
      </c>
    </row>
    <row r="12867">
      <c r="A12867" s="3" t="n">
        <v>2022</v>
      </c>
      <c r="B12867" s="4" t="n">
        <v>21520</v>
      </c>
      <c r="C12867" s="4" t="n">
        <v>660</v>
      </c>
      <c r="D12867" s="4" t="n">
        <v>199.65</v>
      </c>
      <c r="E12867" s="5" t="n">
        <v>107.8</v>
      </c>
      <c r="F12867" s="3" t="inlineStr">
        <is>
          <t>현도면</t>
        </is>
      </c>
      <c r="G12867" s="3" t="inlineStr">
        <is>
          <t>중삼리</t>
        </is>
      </c>
      <c r="H12867" s="3" t="inlineStr">
        <is>
          <t>단독다가구</t>
        </is>
      </c>
      <c r="I12867" s="3" t="inlineStr">
        <is>
          <t>단독</t>
        </is>
      </c>
      <c r="J12867" s="3" t="inlineStr">
        <is>
          <t>현도면</t>
        </is>
      </c>
    </row>
    <row r="12868">
      <c r="A12868" s="3" t="n">
        <v>2025</v>
      </c>
      <c r="B12868" s="4" t="n">
        <v>80000</v>
      </c>
      <c r="C12868" s="4" t="n">
        <v>695</v>
      </c>
      <c r="D12868" s="4" t="n">
        <v>210.2375</v>
      </c>
      <c r="E12868" s="5" t="n">
        <v>380.5</v>
      </c>
      <c r="F12868" s="3" t="inlineStr">
        <is>
          <t>남이면</t>
        </is>
      </c>
      <c r="G12868" s="3" t="inlineStr">
        <is>
          <t>석판리</t>
        </is>
      </c>
      <c r="H12868" s="3" t="inlineStr">
        <is>
          <t>단독다가구</t>
        </is>
      </c>
      <c r="I12868" s="3" t="inlineStr">
        <is>
          <t>단독</t>
        </is>
      </c>
      <c r="J12868" s="3" t="inlineStr">
        <is>
          <t>남이면</t>
        </is>
      </c>
    </row>
    <row r="12869">
      <c r="A12869" s="3" t="n">
        <v>2026</v>
      </c>
      <c r="B12869" s="4" t="n">
        <v>13000</v>
      </c>
      <c r="C12869" s="4" t="n">
        <v>372</v>
      </c>
      <c r="D12869" s="4" t="n">
        <v>112.53</v>
      </c>
      <c r="E12869" s="5" t="n">
        <v>115.5</v>
      </c>
      <c r="F12869" s="3" t="inlineStr">
        <is>
          <t>현도면</t>
        </is>
      </c>
      <c r="G12869" s="3" t="inlineStr">
        <is>
          <t>선동리</t>
        </is>
      </c>
      <c r="H12869" s="3" t="inlineStr">
        <is>
          <t>단독다가구</t>
        </is>
      </c>
      <c r="I12869" s="3" t="inlineStr">
        <is>
          <t>단독</t>
        </is>
      </c>
      <c r="J12869" s="3" t="inlineStr">
        <is>
          <t>현도면</t>
        </is>
      </c>
    </row>
    <row r="12870">
      <c r="A12870" s="3" t="n">
        <v>2026</v>
      </c>
      <c r="B12870" s="4" t="n">
        <v>57000</v>
      </c>
      <c r="C12870" s="4" t="n">
        <v>1139</v>
      </c>
      <c r="D12870" s="4" t="n">
        <v>344.5475</v>
      </c>
      <c r="E12870" s="5" t="n">
        <v>165.4</v>
      </c>
      <c r="F12870" s="3" t="inlineStr">
        <is>
          <t>남이면</t>
        </is>
      </c>
      <c r="G12870" s="3" t="inlineStr">
        <is>
          <t>석실리</t>
        </is>
      </c>
      <c r="H12870" s="3" t="inlineStr">
        <is>
          <t>단독다가구</t>
        </is>
      </c>
      <c r="I12870" s="3" t="inlineStr">
        <is>
          <t>단독</t>
        </is>
      </c>
      <c r="J12870" s="3" t="inlineStr">
        <is>
          <t>남이면</t>
        </is>
      </c>
    </row>
    <row r="12871">
      <c r="A12871" s="3" t="n">
        <v>2026</v>
      </c>
      <c r="B12871" s="4" t="n">
        <v>48500</v>
      </c>
      <c r="C12871" s="4" t="n">
        <v>747</v>
      </c>
      <c r="D12871" s="4" t="n">
        <v>225.9675</v>
      </c>
      <c r="E12871" s="5" t="n">
        <v>214.6</v>
      </c>
      <c r="F12871" s="3" t="inlineStr">
        <is>
          <t>남이면</t>
        </is>
      </c>
      <c r="G12871" s="3" t="inlineStr">
        <is>
          <t>상발리</t>
        </is>
      </c>
      <c r="H12871" s="3" t="inlineStr">
        <is>
          <t>단독다가구</t>
        </is>
      </c>
      <c r="I12871" s="3" t="inlineStr">
        <is>
          <t>단독</t>
        </is>
      </c>
      <c r="J12871" s="3" t="inlineStr">
        <is>
          <t>남이면</t>
        </is>
      </c>
    </row>
    <row r="12872">
      <c r="A12872" s="3" t="n">
        <v>2026</v>
      </c>
      <c r="B12872" s="4" t="n">
        <v>26500</v>
      </c>
      <c r="C12872" s="4" t="n">
        <v>909</v>
      </c>
      <c r="D12872" s="4" t="n">
        <v>274.9725</v>
      </c>
      <c r="E12872" s="5" t="n">
        <v>96.40000000000001</v>
      </c>
      <c r="F12872" s="3" t="inlineStr">
        <is>
          <t>남이면</t>
        </is>
      </c>
      <c r="G12872" s="3" t="inlineStr">
        <is>
          <t>가좌리</t>
        </is>
      </c>
      <c r="H12872" s="3" t="inlineStr">
        <is>
          <t>단독다가구</t>
        </is>
      </c>
      <c r="I12872" s="3" t="inlineStr">
        <is>
          <t>단독</t>
        </is>
      </c>
      <c r="J12872" s="3" t="inlineStr">
        <is>
          <t>남이면</t>
        </is>
      </c>
    </row>
    <row r="12873">
      <c r="A12873" s="3" t="n">
        <v>2026</v>
      </c>
      <c r="B12873" s="4" t="n">
        <v>24000</v>
      </c>
      <c r="C12873" s="4" t="n">
        <v>782</v>
      </c>
      <c r="D12873" s="4" t="n">
        <v>236.555</v>
      </c>
      <c r="E12873" s="5" t="n">
        <v>101.5</v>
      </c>
      <c r="F12873" s="3" t="inlineStr">
        <is>
          <t>현도면</t>
        </is>
      </c>
      <c r="G12873" s="3" t="inlineStr">
        <is>
          <t>매봉리</t>
        </is>
      </c>
      <c r="H12873" s="3" t="inlineStr">
        <is>
          <t>단독다가구</t>
        </is>
      </c>
      <c r="I12873" s="3" t="inlineStr">
        <is>
          <t>단독</t>
        </is>
      </c>
      <c r="J12873" s="3" t="inlineStr">
        <is>
          <t>현도면</t>
        </is>
      </c>
    </row>
    <row r="12874">
      <c r="A12874" s="3" t="n">
        <v>2026</v>
      </c>
      <c r="B12874" s="4" t="n">
        <v>9780</v>
      </c>
      <c r="C12874" s="4" t="n">
        <v>315</v>
      </c>
      <c r="D12874" s="4" t="n">
        <v>95.28749999999999</v>
      </c>
      <c r="E12874" s="5" t="n">
        <v>102.6</v>
      </c>
      <c r="F12874" s="3" t="inlineStr">
        <is>
          <t>현도면</t>
        </is>
      </c>
      <c r="G12874" s="3" t="inlineStr">
        <is>
          <t>매봉리</t>
        </is>
      </c>
      <c r="H12874" s="3" t="inlineStr">
        <is>
          <t>단독다가구</t>
        </is>
      </c>
      <c r="I12874" s="3" t="inlineStr">
        <is>
          <t>단독</t>
        </is>
      </c>
      <c r="J12874" s="3" t="inlineStr">
        <is>
          <t>현도면</t>
        </is>
      </c>
    </row>
    <row r="12875">
      <c r="A12875" s="3" t="n">
        <v>2026</v>
      </c>
      <c r="B12875" s="4" t="n">
        <v>12000</v>
      </c>
      <c r="C12875" s="4" t="n">
        <v>471</v>
      </c>
      <c r="D12875" s="4" t="n">
        <v>142.4775</v>
      </c>
      <c r="E12875" s="5" t="n">
        <v>84.2</v>
      </c>
      <c r="F12875" s="3" t="inlineStr">
        <is>
          <t>남이면</t>
        </is>
      </c>
      <c r="G12875" s="3" t="inlineStr">
        <is>
          <t>부용외천리</t>
        </is>
      </c>
      <c r="H12875" s="3" t="inlineStr">
        <is>
          <t>단독다가구</t>
        </is>
      </c>
      <c r="I12875" s="3" t="inlineStr">
        <is>
          <t>단독</t>
        </is>
      </c>
      <c r="J12875" s="3" t="inlineStr">
        <is>
          <t>남이면</t>
        </is>
      </c>
    </row>
    <row r="12876">
      <c r="A12876" s="3" t="n">
        <v>2026</v>
      </c>
      <c r="B12876" s="4" t="n">
        <v>67800</v>
      </c>
      <c r="C12876" s="4" t="n">
        <v>216.4</v>
      </c>
      <c r="D12876" s="4" t="n">
        <v>65.461</v>
      </c>
      <c r="E12876" s="5" t="n">
        <v>1035.7</v>
      </c>
      <c r="F12876" s="3" t="inlineStr">
        <is>
          <t>남이면</t>
        </is>
      </c>
      <c r="G12876" s="3" t="inlineStr">
        <is>
          <t>가마리</t>
        </is>
      </c>
      <c r="H12876" s="3" t="inlineStr">
        <is>
          <t>단독다가구</t>
        </is>
      </c>
      <c r="I12876" s="3" t="inlineStr">
        <is>
          <t>다가구</t>
        </is>
      </c>
      <c r="J12876" s="3" t="inlineStr">
        <is>
          <t>남이면</t>
        </is>
      </c>
    </row>
    <row r="12877">
      <c r="A12877" s="3" t="n">
        <v>2026</v>
      </c>
      <c r="B12877" s="4" t="n">
        <v>22259</v>
      </c>
      <c r="C12877" s="4" t="n">
        <v>941</v>
      </c>
      <c r="D12877" s="4" t="n">
        <v>284.6525</v>
      </c>
      <c r="E12877" s="5" t="n">
        <v>78.2</v>
      </c>
      <c r="F12877" s="3" t="inlineStr">
        <is>
          <t>남이면</t>
        </is>
      </c>
      <c r="G12877" s="3" t="inlineStr">
        <is>
          <t>팔봉리</t>
        </is>
      </c>
      <c r="H12877" s="3" t="inlineStr">
        <is>
          <t>단독다가구</t>
        </is>
      </c>
      <c r="I12877" s="3" t="inlineStr">
        <is>
          <t>단독</t>
        </is>
      </c>
      <c r="J12877" s="3" t="inlineStr">
        <is>
          <t>남이면</t>
        </is>
      </c>
    </row>
    <row r="12878">
      <c r="A12878" s="3" t="n">
        <v>2026</v>
      </c>
      <c r="B12878" s="4" t="n">
        <v>35000</v>
      </c>
      <c r="C12878" s="4" t="n">
        <v>330</v>
      </c>
      <c r="D12878" s="4" t="n">
        <v>99.825</v>
      </c>
      <c r="E12878" s="5" t="n">
        <v>350.6</v>
      </c>
      <c r="F12878" s="3" t="inlineStr">
        <is>
          <t>남이면</t>
        </is>
      </c>
      <c r="G12878" s="3" t="inlineStr">
        <is>
          <t>가마리</t>
        </is>
      </c>
      <c r="H12878" s="3" t="inlineStr">
        <is>
          <t>단독다가구</t>
        </is>
      </c>
      <c r="I12878" s="3" t="inlineStr">
        <is>
          <t>단독</t>
        </is>
      </c>
      <c r="J12878" s="3" t="inlineStr">
        <is>
          <t>남이면</t>
        </is>
      </c>
    </row>
    <row r="12879">
      <c r="A12879" s="3" t="n">
        <v>2026</v>
      </c>
      <c r="B12879" s="4" t="n">
        <v>8800</v>
      </c>
      <c r="C12879" s="4" t="n">
        <v>165</v>
      </c>
      <c r="D12879" s="4" t="n">
        <v>49.9125</v>
      </c>
      <c r="E12879" s="5" t="n">
        <v>176.3</v>
      </c>
      <c r="F12879" s="3" t="inlineStr">
        <is>
          <t>현도면</t>
        </is>
      </c>
      <c r="G12879" s="3" t="inlineStr">
        <is>
          <t>노산리</t>
        </is>
      </c>
      <c r="H12879" s="3" t="inlineStr">
        <is>
          <t>단독다가구</t>
        </is>
      </c>
      <c r="I12879" s="3" t="inlineStr">
        <is>
          <t>단독</t>
        </is>
      </c>
      <c r="J12879" s="3" t="inlineStr">
        <is>
          <t>현도면</t>
        </is>
      </c>
    </row>
    <row r="12880">
      <c r="A12880" s="3" t="n">
        <v>2026</v>
      </c>
      <c r="B12880" s="4" t="n">
        <v>14978</v>
      </c>
      <c r="C12880" s="4" t="n">
        <v>724</v>
      </c>
      <c r="D12880" s="4" t="n">
        <v>219.01</v>
      </c>
      <c r="E12880" s="5" t="n">
        <v>68.40000000000001</v>
      </c>
      <c r="F12880" s="3" t="inlineStr">
        <is>
          <t>남이면</t>
        </is>
      </c>
      <c r="G12880" s="3" t="inlineStr">
        <is>
          <t>외천리</t>
        </is>
      </c>
      <c r="H12880" s="3" t="inlineStr">
        <is>
          <t>단독다가구</t>
        </is>
      </c>
      <c r="I12880" s="3" t="inlineStr">
        <is>
          <t>단독</t>
        </is>
      </c>
      <c r="J12880" s="3" t="inlineStr">
        <is>
          <t>남이면</t>
        </is>
      </c>
    </row>
    <row r="12881">
      <c r="A12881" s="3" t="n">
        <v>2026</v>
      </c>
      <c r="B12881" s="4" t="n">
        <v>18000</v>
      </c>
      <c r="C12881" s="4" t="n">
        <v>402</v>
      </c>
      <c r="D12881" s="4" t="n">
        <v>121.605</v>
      </c>
      <c r="E12881" s="5" t="n">
        <v>148</v>
      </c>
      <c r="F12881" s="3" t="inlineStr">
        <is>
          <t>남이면</t>
        </is>
      </c>
      <c r="G12881" s="3" t="inlineStr">
        <is>
          <t>석판리</t>
        </is>
      </c>
      <c r="H12881" s="3" t="inlineStr">
        <is>
          <t>단독다가구</t>
        </is>
      </c>
      <c r="I12881" s="3" t="inlineStr">
        <is>
          <t>단독</t>
        </is>
      </c>
      <c r="J12881" s="3" t="inlineStr">
        <is>
          <t>남이면</t>
        </is>
      </c>
    </row>
    <row r="12882">
      <c r="A12882" s="3" t="n">
        <v>2026</v>
      </c>
      <c r="B12882" s="4" t="n">
        <v>17000</v>
      </c>
      <c r="C12882" s="4" t="n">
        <v>350</v>
      </c>
      <c r="D12882" s="4" t="n">
        <v>105.875</v>
      </c>
      <c r="E12882" s="5" t="n">
        <v>160.6</v>
      </c>
      <c r="F12882" s="3" t="inlineStr">
        <is>
          <t>남이면</t>
        </is>
      </c>
      <c r="G12882" s="3" t="inlineStr">
        <is>
          <t>구미리</t>
        </is>
      </c>
      <c r="H12882" s="3" t="inlineStr">
        <is>
          <t>단독다가구</t>
        </is>
      </c>
      <c r="I12882" s="3" t="inlineStr">
        <is>
          <t>단독</t>
        </is>
      </c>
      <c r="J12882" s="3" t="inlineStr">
        <is>
          <t>남이면</t>
        </is>
      </c>
    </row>
    <row r="12883">
      <c r="A12883" s="3" t="n">
        <v>2024</v>
      </c>
      <c r="B12883" s="4" t="n">
        <v>17000</v>
      </c>
      <c r="C12883" s="4" t="n">
        <v>372</v>
      </c>
      <c r="D12883" s="4" t="n">
        <v>112.53</v>
      </c>
      <c r="E12883" s="5" t="n">
        <v>151.1</v>
      </c>
      <c r="F12883" s="3" t="inlineStr">
        <is>
          <t>오송읍</t>
        </is>
      </c>
      <c r="G12883" s="3" t="inlineStr">
        <is>
          <t>쌍청리</t>
        </is>
      </c>
      <c r="H12883" s="3" t="inlineStr">
        <is>
          <t>단독다가구</t>
        </is>
      </c>
      <c r="I12883" s="3" t="inlineStr">
        <is>
          <t>단독</t>
        </is>
      </c>
      <c r="J12883" s="3" t="inlineStr">
        <is>
          <t>오송읍</t>
        </is>
      </c>
    </row>
    <row r="12884">
      <c r="A12884" s="3" t="n">
        <v>2024</v>
      </c>
      <c r="B12884" s="4" t="n">
        <v>24500</v>
      </c>
      <c r="C12884" s="4" t="n">
        <v>408</v>
      </c>
      <c r="D12884" s="4" t="n">
        <v>123.42</v>
      </c>
      <c r="E12884" s="5" t="n">
        <v>198.5</v>
      </c>
      <c r="F12884" s="3" t="inlineStr">
        <is>
          <t>강내면</t>
        </is>
      </c>
      <c r="G12884" s="3" t="inlineStr">
        <is>
          <t>석화리</t>
        </is>
      </c>
      <c r="H12884" s="3" t="inlineStr">
        <is>
          <t>단독다가구</t>
        </is>
      </c>
      <c r="I12884" s="3" t="inlineStr">
        <is>
          <t>단독</t>
        </is>
      </c>
      <c r="J12884" s="3" t="inlineStr">
        <is>
          <t>강내면</t>
        </is>
      </c>
    </row>
    <row r="12885">
      <c r="A12885" s="3" t="n">
        <v>2024</v>
      </c>
      <c r="B12885" s="4" t="n">
        <v>128000</v>
      </c>
      <c r="C12885" s="4" t="n">
        <v>279.2</v>
      </c>
      <c r="D12885" s="4" t="n">
        <v>84.458</v>
      </c>
      <c r="E12885" s="5" t="n">
        <v>1515.5</v>
      </c>
      <c r="F12885" s="3" t="inlineStr">
        <is>
          <t>오송읍</t>
        </is>
      </c>
      <c r="G12885" s="3" t="inlineStr">
        <is>
          <t>봉산리</t>
        </is>
      </c>
      <c r="H12885" s="3" t="inlineStr">
        <is>
          <t>단독다가구</t>
        </is>
      </c>
      <c r="I12885" s="3" t="inlineStr">
        <is>
          <t>다가구</t>
        </is>
      </c>
      <c r="J12885" s="3" t="inlineStr">
        <is>
          <t>오송읍</t>
        </is>
      </c>
    </row>
    <row r="12886">
      <c r="A12886" s="3" t="n">
        <v>2024</v>
      </c>
      <c r="B12886" s="4" t="n">
        <v>66500</v>
      </c>
      <c r="C12886" s="4" t="n">
        <v>246.7</v>
      </c>
      <c r="D12886" s="4" t="n">
        <v>74.62675</v>
      </c>
      <c r="E12886" s="5" t="n">
        <v>891.1</v>
      </c>
      <c r="F12886" s="3" t="inlineStr">
        <is>
          <t>오송읍</t>
        </is>
      </c>
      <c r="G12886" s="3" t="inlineStr">
        <is>
          <t>연제리</t>
        </is>
      </c>
      <c r="H12886" s="3" t="inlineStr">
        <is>
          <t>단독다가구</t>
        </is>
      </c>
      <c r="I12886" s="3" t="inlineStr">
        <is>
          <t>다가구</t>
        </is>
      </c>
      <c r="J12886" s="3" t="inlineStr">
        <is>
          <t>오송읍</t>
        </is>
      </c>
    </row>
    <row r="12887">
      <c r="A12887" s="3" t="n">
        <v>2024</v>
      </c>
      <c r="B12887" s="4" t="n">
        <v>7000</v>
      </c>
      <c r="C12887" s="4" t="n">
        <v>192</v>
      </c>
      <c r="D12887" s="4" t="n">
        <v>58.08</v>
      </c>
      <c r="E12887" s="5" t="n">
        <v>120.5</v>
      </c>
      <c r="F12887" s="3" t="inlineStr">
        <is>
          <t>강내면</t>
        </is>
      </c>
      <c r="G12887" s="3" t="inlineStr">
        <is>
          <t>다락리</t>
        </is>
      </c>
      <c r="H12887" s="3" t="inlineStr">
        <is>
          <t>단독다가구</t>
        </is>
      </c>
      <c r="I12887" s="3" t="inlineStr">
        <is>
          <t>단독</t>
        </is>
      </c>
      <c r="J12887" s="3" t="inlineStr">
        <is>
          <t>강내면</t>
        </is>
      </c>
    </row>
    <row r="12888">
      <c r="A12888" s="3" t="n">
        <v>2024</v>
      </c>
      <c r="B12888" s="4" t="n">
        <v>13500</v>
      </c>
      <c r="C12888" s="4" t="n">
        <v>284</v>
      </c>
      <c r="D12888" s="4" t="n">
        <v>85.91</v>
      </c>
      <c r="E12888" s="5" t="n">
        <v>157.1</v>
      </c>
      <c r="F12888" s="3" t="inlineStr">
        <is>
          <t>강내면</t>
        </is>
      </c>
      <c r="G12888" s="3" t="inlineStr">
        <is>
          <t>사인리</t>
        </is>
      </c>
      <c r="H12888" s="3" t="inlineStr">
        <is>
          <t>단독다가구</t>
        </is>
      </c>
      <c r="I12888" s="3" t="inlineStr">
        <is>
          <t>단독</t>
        </is>
      </c>
      <c r="J12888" s="3" t="inlineStr">
        <is>
          <t>강내면</t>
        </is>
      </c>
    </row>
    <row r="12889">
      <c r="A12889" s="3" t="n">
        <v>2024</v>
      </c>
      <c r="B12889" s="4" t="n">
        <v>36500</v>
      </c>
      <c r="C12889" s="4" t="n">
        <v>276</v>
      </c>
      <c r="D12889" s="4" t="n">
        <v>83.48999999999999</v>
      </c>
      <c r="E12889" s="5" t="n">
        <v>437.2</v>
      </c>
      <c r="F12889" s="3" t="inlineStr">
        <is>
          <t>오송읍</t>
        </is>
      </c>
      <c r="G12889" s="3" t="inlineStr">
        <is>
          <t>오송리</t>
        </is>
      </c>
      <c r="H12889" s="3" t="inlineStr">
        <is>
          <t>단독다가구</t>
        </is>
      </c>
      <c r="I12889" s="3" t="inlineStr">
        <is>
          <t>단독</t>
        </is>
      </c>
      <c r="J12889" s="3" t="inlineStr">
        <is>
          <t>오송읍</t>
        </is>
      </c>
    </row>
    <row r="12890">
      <c r="A12890" s="3" t="n">
        <v>2024</v>
      </c>
      <c r="B12890" s="4" t="n">
        <v>42500</v>
      </c>
      <c r="C12890" s="4" t="n">
        <v>505.8</v>
      </c>
      <c r="D12890" s="4" t="n">
        <v>153.0045</v>
      </c>
      <c r="E12890" s="5" t="n">
        <v>277.8</v>
      </c>
      <c r="F12890" s="3" t="inlineStr">
        <is>
          <t>강내면</t>
        </is>
      </c>
      <c r="G12890" s="3" t="inlineStr">
        <is>
          <t>석화리</t>
        </is>
      </c>
      <c r="H12890" s="3" t="inlineStr">
        <is>
          <t>단독다가구</t>
        </is>
      </c>
      <c r="I12890" s="3" t="inlineStr">
        <is>
          <t>단독</t>
        </is>
      </c>
      <c r="J12890" s="3" t="inlineStr">
        <is>
          <t>강내면</t>
        </is>
      </c>
    </row>
    <row r="12891">
      <c r="A12891" s="3" t="n">
        <v>2024</v>
      </c>
      <c r="B12891" s="4" t="n">
        <v>26520</v>
      </c>
      <c r="C12891" s="4" t="n">
        <v>630</v>
      </c>
      <c r="D12891" s="4" t="n">
        <v>190.575</v>
      </c>
      <c r="E12891" s="5" t="n">
        <v>139.2</v>
      </c>
      <c r="F12891" s="3" t="inlineStr">
        <is>
          <t>오송읍</t>
        </is>
      </c>
      <c r="G12891" s="3" t="inlineStr">
        <is>
          <t>쌍청리</t>
        </is>
      </c>
      <c r="H12891" s="3" t="inlineStr">
        <is>
          <t>단독다가구</t>
        </is>
      </c>
      <c r="I12891" s="3" t="inlineStr">
        <is>
          <t>단독</t>
        </is>
      </c>
      <c r="J12891" s="3" t="inlineStr">
        <is>
          <t>오송읍</t>
        </is>
      </c>
    </row>
    <row r="12892">
      <c r="A12892" s="3" t="n">
        <v>2024</v>
      </c>
      <c r="B12892" s="4" t="n">
        <v>43000</v>
      </c>
      <c r="C12892" s="4" t="n">
        <v>505.8</v>
      </c>
      <c r="D12892" s="4" t="n">
        <v>153.0045</v>
      </c>
      <c r="E12892" s="5" t="n">
        <v>281</v>
      </c>
      <c r="F12892" s="3" t="inlineStr">
        <is>
          <t>강내면</t>
        </is>
      </c>
      <c r="G12892" s="3" t="inlineStr">
        <is>
          <t>석화리</t>
        </is>
      </c>
      <c r="H12892" s="3" t="inlineStr">
        <is>
          <t>단독다가구</t>
        </is>
      </c>
      <c r="I12892" s="3" t="inlineStr">
        <is>
          <t>단독</t>
        </is>
      </c>
      <c r="J12892" s="3" t="inlineStr">
        <is>
          <t>강내면</t>
        </is>
      </c>
    </row>
    <row r="12893">
      <c r="A12893" s="3" t="n">
        <v>2024</v>
      </c>
      <c r="B12893" s="4" t="n">
        <v>25800</v>
      </c>
      <c r="C12893" s="4" t="n">
        <v>337</v>
      </c>
      <c r="D12893" s="4" t="n">
        <v>101.9425</v>
      </c>
      <c r="E12893" s="5" t="n">
        <v>253.1</v>
      </c>
      <c r="F12893" s="3" t="inlineStr">
        <is>
          <t>강내면</t>
        </is>
      </c>
      <c r="G12893" s="3" t="inlineStr">
        <is>
          <t>태성리</t>
        </is>
      </c>
      <c r="H12893" s="3" t="inlineStr">
        <is>
          <t>단독다가구</t>
        </is>
      </c>
      <c r="I12893" s="3" t="inlineStr">
        <is>
          <t>단독</t>
        </is>
      </c>
      <c r="J12893" s="3" t="inlineStr">
        <is>
          <t>강내면</t>
        </is>
      </c>
    </row>
    <row r="12894">
      <c r="A12894" s="3" t="n">
        <v>2024</v>
      </c>
      <c r="B12894" s="4" t="n">
        <v>19473</v>
      </c>
      <c r="C12894" s="4" t="n">
        <v>491</v>
      </c>
      <c r="D12894" s="4" t="n">
        <v>148.5275</v>
      </c>
      <c r="E12894" s="5" t="n">
        <v>131.1</v>
      </c>
      <c r="F12894" s="3" t="inlineStr">
        <is>
          <t>오송읍</t>
        </is>
      </c>
      <c r="G12894" s="3" t="inlineStr">
        <is>
          <t>상정리</t>
        </is>
      </c>
      <c r="H12894" s="3" t="inlineStr">
        <is>
          <t>단독다가구</t>
        </is>
      </c>
      <c r="I12894" s="3" t="inlineStr">
        <is>
          <t>단독</t>
        </is>
      </c>
      <c r="J12894" s="3" t="inlineStr">
        <is>
          <t>오송읍</t>
        </is>
      </c>
    </row>
    <row r="12895">
      <c r="A12895" s="3" t="n">
        <v>2024</v>
      </c>
      <c r="B12895" s="4" t="n">
        <v>6500</v>
      </c>
      <c r="C12895" s="4" t="n">
        <v>155</v>
      </c>
      <c r="D12895" s="4" t="n">
        <v>46.8875</v>
      </c>
      <c r="E12895" s="5" t="n">
        <v>138.6</v>
      </c>
      <c r="F12895" s="3" t="inlineStr">
        <is>
          <t>오송읍</t>
        </is>
      </c>
      <c r="G12895" s="3" t="inlineStr">
        <is>
          <t>정중리</t>
        </is>
      </c>
      <c r="H12895" s="3" t="inlineStr">
        <is>
          <t>단독다가구</t>
        </is>
      </c>
      <c r="I12895" s="3" t="inlineStr">
        <is>
          <t>단독</t>
        </is>
      </c>
      <c r="J12895" s="3" t="inlineStr">
        <is>
          <t>오송읍</t>
        </is>
      </c>
    </row>
    <row r="12896">
      <c r="A12896" s="3" t="n">
        <v>2024</v>
      </c>
      <c r="B12896" s="4" t="n">
        <v>5500</v>
      </c>
      <c r="C12896" s="4" t="n">
        <v>346</v>
      </c>
      <c r="D12896" s="4" t="n">
        <v>104.665</v>
      </c>
      <c r="E12896" s="5" t="n">
        <v>52.5</v>
      </c>
      <c r="F12896" s="3" t="inlineStr">
        <is>
          <t>강내면</t>
        </is>
      </c>
      <c r="G12896" s="3" t="inlineStr">
        <is>
          <t>저산리</t>
        </is>
      </c>
      <c r="H12896" s="3" t="inlineStr">
        <is>
          <t>단독다가구</t>
        </is>
      </c>
      <c r="I12896" s="3" t="inlineStr">
        <is>
          <t>단독</t>
        </is>
      </c>
      <c r="J12896" s="3" t="inlineStr">
        <is>
          <t>강내면</t>
        </is>
      </c>
    </row>
    <row r="12897">
      <c r="A12897" s="3" t="n">
        <v>2024</v>
      </c>
      <c r="B12897" s="4" t="n">
        <v>40000</v>
      </c>
      <c r="C12897" s="4" t="n">
        <v>407</v>
      </c>
      <c r="D12897" s="4" t="n">
        <v>123.1175</v>
      </c>
      <c r="E12897" s="5" t="n">
        <v>324.9</v>
      </c>
      <c r="F12897" s="3" t="inlineStr">
        <is>
          <t>오송읍</t>
        </is>
      </c>
      <c r="G12897" s="3" t="inlineStr">
        <is>
          <t>궁평리</t>
        </is>
      </c>
      <c r="H12897" s="3" t="inlineStr">
        <is>
          <t>단독다가구</t>
        </is>
      </c>
      <c r="I12897" s="3" t="inlineStr">
        <is>
          <t>단독</t>
        </is>
      </c>
      <c r="J12897" s="3" t="inlineStr">
        <is>
          <t>오송읍</t>
        </is>
      </c>
    </row>
    <row r="12898">
      <c r="A12898" s="3" t="n">
        <v>2024</v>
      </c>
      <c r="B12898" s="4" t="n">
        <v>73500</v>
      </c>
      <c r="C12898" s="4" t="n">
        <v>254.7</v>
      </c>
      <c r="D12898" s="4" t="n">
        <v>77.04674999999999</v>
      </c>
      <c r="E12898" s="5" t="n">
        <v>954</v>
      </c>
      <c r="F12898" s="3" t="inlineStr">
        <is>
          <t>오송읍</t>
        </is>
      </c>
      <c r="G12898" s="3" t="inlineStr">
        <is>
          <t>만수리</t>
        </is>
      </c>
      <c r="H12898" s="3" t="inlineStr">
        <is>
          <t>단독다가구</t>
        </is>
      </c>
      <c r="I12898" s="3" t="inlineStr">
        <is>
          <t>다가구</t>
        </is>
      </c>
      <c r="J12898" s="3" t="inlineStr">
        <is>
          <t>오송읍</t>
        </is>
      </c>
    </row>
    <row r="12899">
      <c r="A12899" s="3" t="n">
        <v>2024</v>
      </c>
      <c r="B12899" s="4" t="n">
        <v>10000</v>
      </c>
      <c r="C12899" s="4" t="n">
        <v>229</v>
      </c>
      <c r="D12899" s="4" t="n">
        <v>69.27249999999999</v>
      </c>
      <c r="E12899" s="5" t="n">
        <v>144.4</v>
      </c>
      <c r="F12899" s="3" t="inlineStr">
        <is>
          <t>오송읍</t>
        </is>
      </c>
      <c r="G12899" s="3" t="inlineStr">
        <is>
          <t>쌍청리</t>
        </is>
      </c>
      <c r="H12899" s="3" t="inlineStr">
        <is>
          <t>단독다가구</t>
        </is>
      </c>
      <c r="I12899" s="3" t="inlineStr">
        <is>
          <t>단독</t>
        </is>
      </c>
      <c r="J12899" s="3" t="inlineStr">
        <is>
          <t>오송읍</t>
        </is>
      </c>
    </row>
    <row r="12900">
      <c r="A12900" s="3" t="n">
        <v>2025</v>
      </c>
      <c r="B12900" s="4" t="n">
        <v>45976</v>
      </c>
      <c r="C12900" s="4" t="n">
        <v>660</v>
      </c>
      <c r="D12900" s="4" t="n">
        <v>199.65</v>
      </c>
      <c r="E12900" s="5" t="n">
        <v>230.3</v>
      </c>
      <c r="F12900" s="3" t="inlineStr">
        <is>
          <t>남이면</t>
        </is>
      </c>
      <c r="G12900" s="3" t="inlineStr">
        <is>
          <t>양촌리</t>
        </is>
      </c>
      <c r="H12900" s="3" t="inlineStr">
        <is>
          <t>단독다가구</t>
        </is>
      </c>
      <c r="I12900" s="3" t="inlineStr">
        <is>
          <t>단독</t>
        </is>
      </c>
      <c r="J12900" s="3" t="inlineStr">
        <is>
          <t>남이면</t>
        </is>
      </c>
    </row>
    <row r="12901">
      <c r="A12901" s="3" t="n">
        <v>2025</v>
      </c>
      <c r="B12901" s="4" t="n">
        <v>27980</v>
      </c>
      <c r="C12901" s="4" t="n">
        <v>533</v>
      </c>
      <c r="D12901" s="4" t="n">
        <v>161.2325</v>
      </c>
      <c r="E12901" s="5" t="n">
        <v>173.5</v>
      </c>
      <c r="F12901" s="3" t="inlineStr">
        <is>
          <t>남이면</t>
        </is>
      </c>
      <c r="G12901" s="3" t="inlineStr">
        <is>
          <t>팔봉리</t>
        </is>
      </c>
      <c r="H12901" s="3" t="inlineStr">
        <is>
          <t>단독다가구</t>
        </is>
      </c>
      <c r="I12901" s="3" t="inlineStr">
        <is>
          <t>단독</t>
        </is>
      </c>
      <c r="J12901" s="3" t="inlineStr">
        <is>
          <t>남이면</t>
        </is>
      </c>
    </row>
    <row r="12902">
      <c r="A12902" s="3" t="n">
        <v>2025</v>
      </c>
      <c r="B12902" s="4" t="n">
        <v>30970</v>
      </c>
      <c r="C12902" s="4" t="n">
        <v>334</v>
      </c>
      <c r="D12902" s="4" t="n">
        <v>101.035</v>
      </c>
      <c r="E12902" s="5" t="n">
        <v>306.5</v>
      </c>
      <c r="F12902" s="3" t="inlineStr">
        <is>
          <t>남이면</t>
        </is>
      </c>
      <c r="G12902" s="3" t="inlineStr">
        <is>
          <t>팔봉리</t>
        </is>
      </c>
      <c r="H12902" s="3" t="inlineStr">
        <is>
          <t>단독다가구</t>
        </is>
      </c>
      <c r="I12902" s="3" t="inlineStr">
        <is>
          <t>단독</t>
        </is>
      </c>
      <c r="J12902" s="3" t="inlineStr">
        <is>
          <t>남이면</t>
        </is>
      </c>
    </row>
    <row r="12903">
      <c r="A12903" s="3" t="n">
        <v>2025</v>
      </c>
      <c r="B12903" s="4" t="n">
        <v>19900</v>
      </c>
      <c r="C12903" s="4" t="n">
        <v>459</v>
      </c>
      <c r="D12903" s="4" t="n">
        <v>138.8475</v>
      </c>
      <c r="E12903" s="5" t="n">
        <v>143.3</v>
      </c>
      <c r="F12903" s="3" t="inlineStr">
        <is>
          <t>남이면</t>
        </is>
      </c>
      <c r="G12903" s="3" t="inlineStr">
        <is>
          <t>척북리</t>
        </is>
      </c>
      <c r="H12903" s="3" t="inlineStr">
        <is>
          <t>단독다가구</t>
        </is>
      </c>
      <c r="I12903" s="3" t="inlineStr">
        <is>
          <t>단독</t>
        </is>
      </c>
      <c r="J12903" s="3" t="inlineStr">
        <is>
          <t>남이면</t>
        </is>
      </c>
    </row>
    <row r="12904">
      <c r="A12904" s="3" t="n">
        <v>2025</v>
      </c>
      <c r="B12904" s="4" t="n">
        <v>40500</v>
      </c>
      <c r="C12904" s="4" t="n">
        <v>493.6</v>
      </c>
      <c r="D12904" s="4" t="n">
        <v>149.314</v>
      </c>
      <c r="E12904" s="5" t="n">
        <v>271.2</v>
      </c>
      <c r="F12904" s="3" t="inlineStr">
        <is>
          <t>남이면</t>
        </is>
      </c>
      <c r="G12904" s="3" t="inlineStr">
        <is>
          <t>가좌리</t>
        </is>
      </c>
      <c r="H12904" s="3" t="inlineStr">
        <is>
          <t>단독다가구</t>
        </is>
      </c>
      <c r="I12904" s="3" t="inlineStr">
        <is>
          <t>단독</t>
        </is>
      </c>
      <c r="J12904" s="3" t="inlineStr">
        <is>
          <t>남이면</t>
        </is>
      </c>
    </row>
    <row r="12905">
      <c r="A12905" s="3" t="n">
        <v>2025</v>
      </c>
      <c r="B12905" s="4" t="n">
        <v>30000</v>
      </c>
      <c r="C12905" s="4" t="n">
        <v>549</v>
      </c>
      <c r="D12905" s="4" t="n">
        <v>166.0725</v>
      </c>
      <c r="E12905" s="5" t="n">
        <v>180.6</v>
      </c>
      <c r="F12905" s="3" t="inlineStr">
        <is>
          <t>남이면</t>
        </is>
      </c>
      <c r="G12905" s="3" t="inlineStr">
        <is>
          <t>척산리</t>
        </is>
      </c>
      <c r="H12905" s="3" t="inlineStr">
        <is>
          <t>단독다가구</t>
        </is>
      </c>
      <c r="I12905" s="3" t="inlineStr">
        <is>
          <t>단독</t>
        </is>
      </c>
      <c r="J12905" s="3" t="inlineStr">
        <is>
          <t>남이면</t>
        </is>
      </c>
    </row>
    <row r="12906">
      <c r="A12906" s="3" t="n">
        <v>2025</v>
      </c>
      <c r="B12906" s="4" t="n">
        <v>25000</v>
      </c>
      <c r="C12906" s="4" t="n">
        <v>402</v>
      </c>
      <c r="D12906" s="4" t="n">
        <v>121.605</v>
      </c>
      <c r="E12906" s="5" t="n">
        <v>205.6</v>
      </c>
      <c r="F12906" s="3" t="inlineStr">
        <is>
          <t>남이면</t>
        </is>
      </c>
      <c r="G12906" s="3" t="inlineStr">
        <is>
          <t>석판리</t>
        </is>
      </c>
      <c r="H12906" s="3" t="inlineStr">
        <is>
          <t>단독다가구</t>
        </is>
      </c>
      <c r="I12906" s="3" t="inlineStr">
        <is>
          <t>단독</t>
        </is>
      </c>
      <c r="J12906" s="3" t="inlineStr">
        <is>
          <t>남이면</t>
        </is>
      </c>
    </row>
    <row r="12907">
      <c r="A12907" s="3" t="n">
        <v>2025</v>
      </c>
      <c r="B12907" s="4" t="n">
        <v>62880</v>
      </c>
      <c r="C12907" s="4" t="n">
        <v>611</v>
      </c>
      <c r="D12907" s="4" t="n">
        <v>184.8275</v>
      </c>
      <c r="E12907" s="5" t="n">
        <v>340.2</v>
      </c>
      <c r="F12907" s="3" t="inlineStr">
        <is>
          <t>남이면</t>
        </is>
      </c>
      <c r="G12907" s="3" t="inlineStr">
        <is>
          <t>팔봉리</t>
        </is>
      </c>
      <c r="H12907" s="3" t="inlineStr">
        <is>
          <t>단독다가구</t>
        </is>
      </c>
      <c r="I12907" s="3" t="inlineStr">
        <is>
          <t>단독</t>
        </is>
      </c>
      <c r="J12907" s="3" t="inlineStr">
        <is>
          <t>남이면</t>
        </is>
      </c>
    </row>
    <row r="12908">
      <c r="A12908" s="3" t="n">
        <v>2025</v>
      </c>
      <c r="B12908" s="4" t="n">
        <v>23340</v>
      </c>
      <c r="C12908" s="4" t="n">
        <v>415</v>
      </c>
      <c r="D12908" s="4" t="n">
        <v>125.5375</v>
      </c>
      <c r="E12908" s="5" t="n">
        <v>185.9</v>
      </c>
      <c r="F12908" s="3" t="inlineStr">
        <is>
          <t>남이면</t>
        </is>
      </c>
      <c r="G12908" s="3" t="inlineStr">
        <is>
          <t>수대리</t>
        </is>
      </c>
      <c r="H12908" s="3" t="inlineStr">
        <is>
          <t>단독다가구</t>
        </is>
      </c>
      <c r="I12908" s="3" t="inlineStr">
        <is>
          <t>단독</t>
        </is>
      </c>
      <c r="J12908" s="3" t="inlineStr">
        <is>
          <t>남이면</t>
        </is>
      </c>
    </row>
    <row r="12909">
      <c r="A12909" s="3" t="n">
        <v>2025</v>
      </c>
      <c r="B12909" s="4" t="n">
        <v>6000</v>
      </c>
      <c r="C12909" s="4" t="n">
        <v>362</v>
      </c>
      <c r="D12909" s="4" t="n">
        <v>109.505</v>
      </c>
      <c r="E12909" s="5" t="n">
        <v>54.8</v>
      </c>
      <c r="F12909" s="3" t="inlineStr">
        <is>
          <t>현도면</t>
        </is>
      </c>
      <c r="G12909" s="3" t="inlineStr">
        <is>
          <t>시목리</t>
        </is>
      </c>
      <c r="H12909" s="3" t="inlineStr">
        <is>
          <t>단독다가구</t>
        </is>
      </c>
      <c r="I12909" s="3" t="inlineStr">
        <is>
          <t>단독</t>
        </is>
      </c>
      <c r="J12909" s="3" t="inlineStr">
        <is>
          <t>현도면</t>
        </is>
      </c>
    </row>
    <row r="12910">
      <c r="A12910" s="3" t="n">
        <v>2023</v>
      </c>
      <c r="B12910" s="4" t="n">
        <v>29800</v>
      </c>
      <c r="C12910" s="4" t="n">
        <v>284</v>
      </c>
      <c r="D12910" s="4" t="n">
        <v>85.91</v>
      </c>
      <c r="E12910" s="5" t="n">
        <v>346.9</v>
      </c>
      <c r="F12910" s="3" t="inlineStr">
        <is>
          <t>현도면</t>
        </is>
      </c>
      <c r="G12910" s="3" t="inlineStr">
        <is>
          <t>노산리</t>
        </is>
      </c>
      <c r="H12910" s="3" t="inlineStr">
        <is>
          <t>단독다가구</t>
        </is>
      </c>
      <c r="I12910" s="3" t="inlineStr">
        <is>
          <t>단독</t>
        </is>
      </c>
      <c r="J12910" s="3" t="inlineStr">
        <is>
          <t>현도면</t>
        </is>
      </c>
    </row>
    <row r="12911">
      <c r="A12911" s="3" t="n">
        <v>2025</v>
      </c>
      <c r="B12911" s="4" t="n">
        <v>46850</v>
      </c>
      <c r="C12911" s="4" t="n">
        <v>541</v>
      </c>
      <c r="D12911" s="4" t="n">
        <v>163.6525</v>
      </c>
      <c r="E12911" s="5" t="n">
        <v>286.3</v>
      </c>
      <c r="F12911" s="3" t="inlineStr">
        <is>
          <t>남이면</t>
        </is>
      </c>
      <c r="G12911" s="3" t="inlineStr">
        <is>
          <t>가좌리</t>
        </is>
      </c>
      <c r="H12911" s="3" t="inlineStr">
        <is>
          <t>단독다가구</t>
        </is>
      </c>
      <c r="I12911" s="3" t="inlineStr">
        <is>
          <t>단독</t>
        </is>
      </c>
      <c r="J12911" s="3" t="inlineStr">
        <is>
          <t>남이면</t>
        </is>
      </c>
    </row>
    <row r="12912">
      <c r="A12912" s="3" t="n">
        <v>2022</v>
      </c>
      <c r="B12912" s="4" t="n">
        <v>45930</v>
      </c>
      <c r="C12912" s="4" t="n">
        <v>660</v>
      </c>
      <c r="D12912" s="4" t="n">
        <v>199.65</v>
      </c>
      <c r="E12912" s="5" t="n">
        <v>230.1</v>
      </c>
      <c r="F12912" s="3" t="inlineStr">
        <is>
          <t>남이면</t>
        </is>
      </c>
      <c r="G12912" s="3" t="inlineStr">
        <is>
          <t>양촌리</t>
        </is>
      </c>
      <c r="H12912" s="3" t="inlineStr">
        <is>
          <t>단독다가구</t>
        </is>
      </c>
      <c r="I12912" s="3" t="inlineStr">
        <is>
          <t>단독</t>
        </is>
      </c>
      <c r="J12912" s="3" t="inlineStr">
        <is>
          <t>남이면</t>
        </is>
      </c>
    </row>
    <row r="12913">
      <c r="A12913" s="3" t="n">
        <v>2022</v>
      </c>
      <c r="B12913" s="4" t="n">
        <v>35500</v>
      </c>
      <c r="C12913" s="4" t="n">
        <v>854</v>
      </c>
      <c r="D12913" s="4" t="n">
        <v>258.335</v>
      </c>
      <c r="E12913" s="5" t="n">
        <v>137.4</v>
      </c>
      <c r="F12913" s="3" t="inlineStr">
        <is>
          <t>남이면</t>
        </is>
      </c>
      <c r="G12913" s="3" t="inlineStr">
        <is>
          <t>팔봉리</t>
        </is>
      </c>
      <c r="H12913" s="3" t="inlineStr">
        <is>
          <t>단독다가구</t>
        </is>
      </c>
      <c r="I12913" s="3" t="inlineStr">
        <is>
          <t>단독</t>
        </is>
      </c>
      <c r="J12913" s="3" t="inlineStr">
        <is>
          <t>남이면</t>
        </is>
      </c>
    </row>
    <row r="12914">
      <c r="A12914" s="3" t="n">
        <v>2022</v>
      </c>
      <c r="B12914" s="4" t="n">
        <v>57000</v>
      </c>
      <c r="C12914" s="4" t="n">
        <v>916</v>
      </c>
      <c r="D12914" s="4" t="n">
        <v>277.09</v>
      </c>
      <c r="E12914" s="5" t="n">
        <v>205.7</v>
      </c>
      <c r="F12914" s="3" t="inlineStr">
        <is>
          <t>남이면</t>
        </is>
      </c>
      <c r="G12914" s="3" t="inlineStr">
        <is>
          <t>가마리</t>
        </is>
      </c>
      <c r="H12914" s="3" t="inlineStr">
        <is>
          <t>단독다가구</t>
        </is>
      </c>
      <c r="I12914" s="3" t="inlineStr">
        <is>
          <t>단독</t>
        </is>
      </c>
      <c r="J12914" s="3" t="inlineStr">
        <is>
          <t>남이면</t>
        </is>
      </c>
    </row>
    <row r="12915">
      <c r="A12915" s="3" t="n">
        <v>2022</v>
      </c>
      <c r="B12915" s="4" t="n">
        <v>20000</v>
      </c>
      <c r="C12915" s="4" t="n">
        <v>280</v>
      </c>
      <c r="D12915" s="4" t="n">
        <v>84.7</v>
      </c>
      <c r="E12915" s="5" t="n">
        <v>236.1</v>
      </c>
      <c r="F12915" s="3" t="inlineStr">
        <is>
          <t>남이면</t>
        </is>
      </c>
      <c r="G12915" s="3" t="inlineStr">
        <is>
          <t>부용외천리</t>
        </is>
      </c>
      <c r="H12915" s="3" t="inlineStr">
        <is>
          <t>단독다가구</t>
        </is>
      </c>
      <c r="I12915" s="3" t="inlineStr">
        <is>
          <t>단독</t>
        </is>
      </c>
      <c r="J12915" s="3" t="inlineStr">
        <is>
          <t>남이면</t>
        </is>
      </c>
    </row>
    <row r="12916">
      <c r="A12916" s="3" t="n">
        <v>2022</v>
      </c>
      <c r="B12916" s="4" t="n">
        <v>21000</v>
      </c>
      <c r="C12916" s="4" t="n">
        <v>304</v>
      </c>
      <c r="D12916" s="4" t="n">
        <v>91.95999999999999</v>
      </c>
      <c r="E12916" s="5" t="n">
        <v>228.4</v>
      </c>
      <c r="F12916" s="3" t="inlineStr">
        <is>
          <t>현도면</t>
        </is>
      </c>
      <c r="G12916" s="3" t="inlineStr">
        <is>
          <t>죽전리</t>
        </is>
      </c>
      <c r="H12916" s="3" t="inlineStr">
        <is>
          <t>단독다가구</t>
        </is>
      </c>
      <c r="I12916" s="3" t="inlineStr">
        <is>
          <t>단독</t>
        </is>
      </c>
      <c r="J12916" s="3" t="inlineStr">
        <is>
          <t>현도면</t>
        </is>
      </c>
    </row>
    <row r="12917">
      <c r="A12917" s="3" t="n">
        <v>2022</v>
      </c>
      <c r="B12917" s="4" t="n">
        <v>24500</v>
      </c>
      <c r="C12917" s="4" t="n">
        <v>389</v>
      </c>
      <c r="D12917" s="4" t="n">
        <v>117.6725</v>
      </c>
      <c r="E12917" s="5" t="n">
        <v>208.2</v>
      </c>
      <c r="F12917" s="3" t="inlineStr">
        <is>
          <t>남이면</t>
        </is>
      </c>
      <c r="G12917" s="3" t="inlineStr">
        <is>
          <t>척산리</t>
        </is>
      </c>
      <c r="H12917" s="3" t="inlineStr">
        <is>
          <t>단독다가구</t>
        </is>
      </c>
      <c r="I12917" s="3" t="inlineStr">
        <is>
          <t>단독</t>
        </is>
      </c>
      <c r="J12917" s="3" t="inlineStr">
        <is>
          <t>남이면</t>
        </is>
      </c>
    </row>
    <row r="12918">
      <c r="A12918" s="3" t="n">
        <v>2022</v>
      </c>
      <c r="B12918" s="4" t="n">
        <v>39000</v>
      </c>
      <c r="C12918" s="4" t="n">
        <v>469</v>
      </c>
      <c r="D12918" s="4" t="n">
        <v>141.8725</v>
      </c>
      <c r="E12918" s="5" t="n">
        <v>274.9</v>
      </c>
      <c r="F12918" s="3" t="inlineStr">
        <is>
          <t>남이면</t>
        </is>
      </c>
      <c r="G12918" s="3" t="inlineStr">
        <is>
          <t>가좌리</t>
        </is>
      </c>
      <c r="H12918" s="3" t="inlineStr">
        <is>
          <t>단독다가구</t>
        </is>
      </c>
      <c r="I12918" s="3" t="inlineStr">
        <is>
          <t>단독</t>
        </is>
      </c>
      <c r="J12918" s="3" t="inlineStr">
        <is>
          <t>남이면</t>
        </is>
      </c>
    </row>
    <row r="12919">
      <c r="A12919" s="3" t="n">
        <v>2022</v>
      </c>
      <c r="B12919" s="4" t="n">
        <v>40000</v>
      </c>
      <c r="C12919" s="4" t="n">
        <v>469</v>
      </c>
      <c r="D12919" s="4" t="n">
        <v>141.8725</v>
      </c>
      <c r="E12919" s="5" t="n">
        <v>281.9</v>
      </c>
      <c r="F12919" s="3" t="inlineStr">
        <is>
          <t>남이면</t>
        </is>
      </c>
      <c r="G12919" s="3" t="inlineStr">
        <is>
          <t>가좌리</t>
        </is>
      </c>
      <c r="H12919" s="3" t="inlineStr">
        <is>
          <t>단독다가구</t>
        </is>
      </c>
      <c r="I12919" s="3" t="inlineStr">
        <is>
          <t>단독</t>
        </is>
      </c>
      <c r="J12919" s="3" t="inlineStr">
        <is>
          <t>남이면</t>
        </is>
      </c>
    </row>
    <row r="12920">
      <c r="A12920" s="3" t="n">
        <v>2022</v>
      </c>
      <c r="B12920" s="4" t="n">
        <v>15000</v>
      </c>
      <c r="C12920" s="4" t="n">
        <v>364</v>
      </c>
      <c r="D12920" s="4" t="n">
        <v>110.11</v>
      </c>
      <c r="E12920" s="5" t="n">
        <v>136.2</v>
      </c>
      <c r="F12920" s="3" t="inlineStr">
        <is>
          <t>현도면</t>
        </is>
      </c>
      <c r="G12920" s="3" t="inlineStr">
        <is>
          <t>죽전리</t>
        </is>
      </c>
      <c r="H12920" s="3" t="inlineStr">
        <is>
          <t>단독다가구</t>
        </is>
      </c>
      <c r="I12920" s="3" t="inlineStr">
        <is>
          <t>단독</t>
        </is>
      </c>
      <c r="J12920" s="3" t="inlineStr">
        <is>
          <t>현도면</t>
        </is>
      </c>
    </row>
    <row r="12921">
      <c r="A12921" s="3" t="n">
        <v>2022</v>
      </c>
      <c r="B12921" s="4" t="n">
        <v>60950</v>
      </c>
      <c r="C12921" s="4" t="n">
        <v>467</v>
      </c>
      <c r="D12921" s="4" t="n">
        <v>141.2675</v>
      </c>
      <c r="E12921" s="5" t="n">
        <v>431.5</v>
      </c>
      <c r="F12921" s="3" t="inlineStr">
        <is>
          <t>남이면</t>
        </is>
      </c>
      <c r="G12921" s="3" t="inlineStr">
        <is>
          <t>양촌리</t>
        </is>
      </c>
      <c r="H12921" s="3" t="inlineStr">
        <is>
          <t>단독다가구</t>
        </is>
      </c>
      <c r="I12921" s="3" t="inlineStr">
        <is>
          <t>단독</t>
        </is>
      </c>
      <c r="J12921" s="3" t="inlineStr">
        <is>
          <t>남이면</t>
        </is>
      </c>
    </row>
    <row r="12922">
      <c r="A12922" s="3" t="n">
        <v>2022</v>
      </c>
      <c r="B12922" s="4" t="n">
        <v>6000</v>
      </c>
      <c r="C12922" s="4" t="n">
        <v>585</v>
      </c>
      <c r="D12922" s="4" t="n">
        <v>176.9625</v>
      </c>
      <c r="E12922" s="5" t="n">
        <v>33.9</v>
      </c>
      <c r="F12922" s="3" t="inlineStr">
        <is>
          <t>현도면</t>
        </is>
      </c>
      <c r="G12922" s="3" t="inlineStr">
        <is>
          <t>중척리</t>
        </is>
      </c>
      <c r="H12922" s="3" t="inlineStr">
        <is>
          <t>단독다가구</t>
        </is>
      </c>
      <c r="I12922" s="3" t="inlineStr">
        <is>
          <t>단독</t>
        </is>
      </c>
      <c r="J12922" s="3" t="inlineStr">
        <is>
          <t>현도면</t>
        </is>
      </c>
    </row>
    <row r="12923">
      <c r="A12923" s="3" t="n">
        <v>2025</v>
      </c>
      <c r="B12923" s="4" t="n">
        <v>30000</v>
      </c>
      <c r="C12923" s="4" t="n">
        <v>424</v>
      </c>
      <c r="D12923" s="4" t="n">
        <v>128.26</v>
      </c>
      <c r="E12923" s="5" t="n">
        <v>233.9</v>
      </c>
      <c r="F12923" s="3" t="inlineStr">
        <is>
          <t>남이면</t>
        </is>
      </c>
      <c r="G12923" s="3" t="inlineStr">
        <is>
          <t>수대리</t>
        </is>
      </c>
      <c r="H12923" s="3" t="inlineStr">
        <is>
          <t>단독다가구</t>
        </is>
      </c>
      <c r="I12923" s="3" t="inlineStr">
        <is>
          <t>단독</t>
        </is>
      </c>
      <c r="J12923" s="3" t="inlineStr">
        <is>
          <t>남이면</t>
        </is>
      </c>
    </row>
    <row r="12924">
      <c r="A12924" s="3" t="n">
        <v>2025</v>
      </c>
      <c r="B12924" s="4" t="n">
        <v>13500</v>
      </c>
      <c r="C12924" s="4" t="n">
        <v>304</v>
      </c>
      <c r="D12924" s="4" t="n">
        <v>91.95999999999999</v>
      </c>
      <c r="E12924" s="5" t="n">
        <v>146.8</v>
      </c>
      <c r="F12924" s="3" t="inlineStr">
        <is>
          <t>남이면</t>
        </is>
      </c>
      <c r="G12924" s="3" t="inlineStr">
        <is>
          <t>문동리</t>
        </is>
      </c>
      <c r="H12924" s="3" t="inlineStr">
        <is>
          <t>단독다가구</t>
        </is>
      </c>
      <c r="I12924" s="3" t="inlineStr">
        <is>
          <t>단독</t>
        </is>
      </c>
      <c r="J12924" s="3" t="inlineStr">
        <is>
          <t>남이면</t>
        </is>
      </c>
    </row>
    <row r="12925">
      <c r="A12925" s="3" t="n">
        <v>2025</v>
      </c>
      <c r="B12925" s="4" t="n">
        <v>12200</v>
      </c>
      <c r="C12925" s="4" t="n">
        <v>280</v>
      </c>
      <c r="D12925" s="4" t="n">
        <v>84.7</v>
      </c>
      <c r="E12925" s="5" t="n">
        <v>144</v>
      </c>
      <c r="F12925" s="3" t="inlineStr">
        <is>
          <t>현도면</t>
        </is>
      </c>
      <c r="G12925" s="3" t="inlineStr">
        <is>
          <t>하석리</t>
        </is>
      </c>
      <c r="H12925" s="3" t="inlineStr">
        <is>
          <t>단독다가구</t>
        </is>
      </c>
      <c r="I12925" s="3" t="inlineStr">
        <is>
          <t>단독</t>
        </is>
      </c>
      <c r="J12925" s="3" t="inlineStr">
        <is>
          <t>현도면</t>
        </is>
      </c>
    </row>
    <row r="12926">
      <c r="A12926" s="3" t="n">
        <v>2025</v>
      </c>
      <c r="B12926" s="4" t="n">
        <v>6700</v>
      </c>
      <c r="C12926" s="4" t="n">
        <v>254</v>
      </c>
      <c r="D12926" s="4" t="n">
        <v>76.83499999999999</v>
      </c>
      <c r="E12926" s="5" t="n">
        <v>87.2</v>
      </c>
      <c r="F12926" s="3" t="inlineStr">
        <is>
          <t>남이면</t>
        </is>
      </c>
      <c r="G12926" s="3" t="inlineStr">
        <is>
          <t>척북리</t>
        </is>
      </c>
      <c r="H12926" s="3" t="inlineStr">
        <is>
          <t>단독다가구</t>
        </is>
      </c>
      <c r="I12926" s="3" t="inlineStr">
        <is>
          <t>단독</t>
        </is>
      </c>
      <c r="J12926" s="3" t="inlineStr">
        <is>
          <t>남이면</t>
        </is>
      </c>
    </row>
    <row r="12927">
      <c r="A12927" s="3" t="n">
        <v>2025</v>
      </c>
      <c r="B12927" s="4" t="n">
        <v>6800</v>
      </c>
      <c r="C12927" s="4" t="n">
        <v>180</v>
      </c>
      <c r="D12927" s="4" t="n">
        <v>54.45</v>
      </c>
      <c r="E12927" s="5" t="n">
        <v>124.9</v>
      </c>
      <c r="F12927" s="3" t="inlineStr">
        <is>
          <t>남이면</t>
        </is>
      </c>
      <c r="G12927" s="3" t="inlineStr">
        <is>
          <t>척산리</t>
        </is>
      </c>
      <c r="H12927" s="3" t="inlineStr">
        <is>
          <t>단독다가구</t>
        </is>
      </c>
      <c r="I12927" s="3" t="inlineStr">
        <is>
          <t>단독</t>
        </is>
      </c>
      <c r="J12927" s="3" t="inlineStr">
        <is>
          <t>남이면</t>
        </is>
      </c>
    </row>
    <row r="12928">
      <c r="A12928" s="3" t="n">
        <v>2025</v>
      </c>
      <c r="B12928" s="4" t="n">
        <v>9500</v>
      </c>
      <c r="C12928" s="4" t="n">
        <v>284</v>
      </c>
      <c r="D12928" s="4" t="n">
        <v>85.91</v>
      </c>
      <c r="E12928" s="5" t="n">
        <v>110.6</v>
      </c>
      <c r="F12928" s="3" t="inlineStr">
        <is>
          <t>남이면</t>
        </is>
      </c>
      <c r="G12928" s="3" t="inlineStr">
        <is>
          <t>외천리</t>
        </is>
      </c>
      <c r="H12928" s="3" t="inlineStr">
        <is>
          <t>단독다가구</t>
        </is>
      </c>
      <c r="I12928" s="3" t="inlineStr">
        <is>
          <t>단독</t>
        </is>
      </c>
      <c r="J12928" s="3" t="inlineStr">
        <is>
          <t>남이면</t>
        </is>
      </c>
    </row>
    <row r="12929">
      <c r="A12929" s="3" t="n">
        <v>2025</v>
      </c>
      <c r="B12929" s="4" t="n">
        <v>9000</v>
      </c>
      <c r="C12929" s="4" t="n">
        <v>219</v>
      </c>
      <c r="D12929" s="4" t="n">
        <v>66.2475</v>
      </c>
      <c r="E12929" s="5" t="n">
        <v>135.9</v>
      </c>
      <c r="F12929" s="3" t="inlineStr">
        <is>
          <t>현도면</t>
        </is>
      </c>
      <c r="G12929" s="3" t="inlineStr">
        <is>
          <t>매봉리</t>
        </is>
      </c>
      <c r="H12929" s="3" t="inlineStr">
        <is>
          <t>단독다가구</t>
        </is>
      </c>
      <c r="I12929" s="3" t="inlineStr">
        <is>
          <t>단독</t>
        </is>
      </c>
      <c r="J12929" s="3" t="inlineStr">
        <is>
          <t>현도면</t>
        </is>
      </c>
    </row>
    <row r="12930">
      <c r="A12930" s="3" t="n">
        <v>2025</v>
      </c>
      <c r="B12930" s="4" t="n">
        <v>8000</v>
      </c>
      <c r="C12930" s="4" t="n">
        <v>404</v>
      </c>
      <c r="D12930" s="4" t="n">
        <v>122.21</v>
      </c>
      <c r="E12930" s="5" t="n">
        <v>65.5</v>
      </c>
      <c r="F12930" s="3" t="inlineStr">
        <is>
          <t>남이면</t>
        </is>
      </c>
      <c r="G12930" s="3" t="inlineStr">
        <is>
          <t>구미리</t>
        </is>
      </c>
      <c r="H12930" s="3" t="inlineStr">
        <is>
          <t>단독다가구</t>
        </is>
      </c>
      <c r="I12930" s="3" t="inlineStr">
        <is>
          <t>단독</t>
        </is>
      </c>
      <c r="J12930" s="3" t="inlineStr">
        <is>
          <t>남이면</t>
        </is>
      </c>
    </row>
    <row r="12931">
      <c r="A12931" s="3" t="n">
        <v>2025</v>
      </c>
      <c r="B12931" s="4" t="n">
        <v>22340</v>
      </c>
      <c r="C12931" s="4" t="n">
        <v>415</v>
      </c>
      <c r="D12931" s="4" t="n">
        <v>125.5375</v>
      </c>
      <c r="E12931" s="5" t="n">
        <v>178</v>
      </c>
      <c r="F12931" s="3" t="inlineStr">
        <is>
          <t>남이면</t>
        </is>
      </c>
      <c r="G12931" s="3" t="inlineStr">
        <is>
          <t>수대리</t>
        </is>
      </c>
      <c r="H12931" s="3" t="inlineStr">
        <is>
          <t>단독다가구</t>
        </is>
      </c>
      <c r="I12931" s="3" t="inlineStr">
        <is>
          <t>단독</t>
        </is>
      </c>
      <c r="J12931" s="3" t="inlineStr">
        <is>
          <t>남이면</t>
        </is>
      </c>
    </row>
    <row r="12932">
      <c r="A12932" s="3" t="n">
        <v>2025</v>
      </c>
      <c r="B12932" s="4" t="n">
        <v>49100</v>
      </c>
      <c r="C12932" s="4" t="n">
        <v>650</v>
      </c>
      <c r="D12932" s="4" t="n">
        <v>196.625</v>
      </c>
      <c r="E12932" s="5" t="n">
        <v>249.7</v>
      </c>
      <c r="F12932" s="3" t="inlineStr">
        <is>
          <t>남이면</t>
        </is>
      </c>
      <c r="G12932" s="3" t="inlineStr">
        <is>
          <t>석판리</t>
        </is>
      </c>
      <c r="H12932" s="3" t="inlineStr">
        <is>
          <t>단독다가구</t>
        </is>
      </c>
      <c r="I12932" s="3" t="inlineStr">
        <is>
          <t>단독</t>
        </is>
      </c>
      <c r="J12932" s="3" t="inlineStr">
        <is>
          <t>남이면</t>
        </is>
      </c>
    </row>
    <row r="12933">
      <c r="A12933" s="3" t="n">
        <v>2025</v>
      </c>
      <c r="B12933" s="4" t="n">
        <v>26000</v>
      </c>
      <c r="C12933" s="4" t="n">
        <v>466</v>
      </c>
      <c r="D12933" s="4" t="n">
        <v>140.965</v>
      </c>
      <c r="E12933" s="5" t="n">
        <v>184.4</v>
      </c>
      <c r="F12933" s="3" t="inlineStr">
        <is>
          <t>남이면</t>
        </is>
      </c>
      <c r="G12933" s="3" t="inlineStr">
        <is>
          <t>갈원리</t>
        </is>
      </c>
      <c r="H12933" s="3" t="inlineStr">
        <is>
          <t>단독다가구</t>
        </is>
      </c>
      <c r="I12933" s="3" t="inlineStr">
        <is>
          <t>단독</t>
        </is>
      </c>
      <c r="J12933" s="3" t="inlineStr">
        <is>
          <t>남이면</t>
        </is>
      </c>
    </row>
    <row r="12934">
      <c r="A12934" s="3" t="n">
        <v>2026</v>
      </c>
      <c r="B12934" s="4" t="n">
        <v>7300</v>
      </c>
      <c r="C12934" s="4" t="n">
        <v>238</v>
      </c>
      <c r="D12934" s="4" t="n">
        <v>71.995</v>
      </c>
      <c r="E12934" s="5" t="n">
        <v>101.4</v>
      </c>
      <c r="F12934" s="3" t="inlineStr">
        <is>
          <t>현도면</t>
        </is>
      </c>
      <c r="G12934" s="3" t="inlineStr">
        <is>
          <t>달계리</t>
        </is>
      </c>
      <c r="H12934" s="3" t="inlineStr">
        <is>
          <t>단독다가구</t>
        </is>
      </c>
      <c r="I12934" s="3" t="inlineStr">
        <is>
          <t>단독</t>
        </is>
      </c>
      <c r="J12934" s="3" t="inlineStr">
        <is>
          <t>현도면</t>
        </is>
      </c>
    </row>
    <row r="12935">
      <c r="A12935" s="3" t="n">
        <v>2026</v>
      </c>
      <c r="B12935" s="4" t="n">
        <v>6700</v>
      </c>
      <c r="C12935" s="4" t="n">
        <v>162</v>
      </c>
      <c r="D12935" s="4" t="n">
        <v>49.005</v>
      </c>
      <c r="E12935" s="5" t="n">
        <v>136.7</v>
      </c>
      <c r="F12935" s="3" t="inlineStr">
        <is>
          <t>남이면</t>
        </is>
      </c>
      <c r="G12935" s="3" t="inlineStr">
        <is>
          <t>척산리</t>
        </is>
      </c>
      <c r="H12935" s="3" t="inlineStr">
        <is>
          <t>단독다가구</t>
        </is>
      </c>
      <c r="I12935" s="3" t="inlineStr">
        <is>
          <t>단독</t>
        </is>
      </c>
      <c r="J12935" s="3" t="inlineStr">
        <is>
          <t>남이면</t>
        </is>
      </c>
    </row>
    <row r="12936">
      <c r="A12936" s="3" t="n">
        <v>2026</v>
      </c>
      <c r="B12936" s="4" t="n">
        <v>25500</v>
      </c>
      <c r="C12936" s="4" t="n">
        <v>440</v>
      </c>
      <c r="D12936" s="4" t="n">
        <v>133.1</v>
      </c>
      <c r="E12936" s="5" t="n">
        <v>191.6</v>
      </c>
      <c r="F12936" s="3" t="inlineStr">
        <is>
          <t>남이면</t>
        </is>
      </c>
      <c r="G12936" s="3" t="inlineStr">
        <is>
          <t>문동리</t>
        </is>
      </c>
      <c r="H12936" s="3" t="inlineStr">
        <is>
          <t>단독다가구</t>
        </is>
      </c>
      <c r="I12936" s="3" t="inlineStr">
        <is>
          <t>단독</t>
        </is>
      </c>
      <c r="J12936" s="3" t="inlineStr">
        <is>
          <t>남이면</t>
        </is>
      </c>
    </row>
    <row r="12937">
      <c r="A12937" s="3" t="n">
        <v>2026</v>
      </c>
      <c r="B12937" s="4" t="n">
        <v>6800</v>
      </c>
      <c r="C12937" s="4" t="n">
        <v>210</v>
      </c>
      <c r="D12937" s="4" t="n">
        <v>63.525</v>
      </c>
      <c r="E12937" s="5" t="n">
        <v>107</v>
      </c>
      <c r="F12937" s="3" t="inlineStr">
        <is>
          <t>현도면</t>
        </is>
      </c>
      <c r="G12937" s="3" t="inlineStr">
        <is>
          <t>죽전리</t>
        </is>
      </c>
      <c r="H12937" s="3" t="inlineStr">
        <is>
          <t>단독다가구</t>
        </is>
      </c>
      <c r="I12937" s="3" t="inlineStr">
        <is>
          <t>단독</t>
        </is>
      </c>
      <c r="J12937" s="3" t="inlineStr">
        <is>
          <t>현도면</t>
        </is>
      </c>
    </row>
    <row r="12938">
      <c r="A12938" s="3" t="n">
        <v>2022</v>
      </c>
      <c r="B12938" s="4" t="n">
        <v>67765</v>
      </c>
      <c r="C12938" s="4" t="n">
        <v>587</v>
      </c>
      <c r="D12938" s="4" t="n">
        <v>177.5675</v>
      </c>
      <c r="E12938" s="5" t="n">
        <v>381.6</v>
      </c>
      <c r="F12938" s="3" t="inlineStr">
        <is>
          <t>강내면</t>
        </is>
      </c>
      <c r="G12938" s="3" t="inlineStr">
        <is>
          <t>탑연리</t>
        </is>
      </c>
      <c r="H12938" s="3" t="inlineStr">
        <is>
          <t>단독다가구</t>
        </is>
      </c>
      <c r="I12938" s="3" t="inlineStr">
        <is>
          <t>단독</t>
        </is>
      </c>
      <c r="J12938" s="3" t="inlineStr">
        <is>
          <t>강내면</t>
        </is>
      </c>
    </row>
    <row r="12939">
      <c r="A12939" s="3" t="n">
        <v>2022</v>
      </c>
      <c r="B12939" s="4" t="n">
        <v>65000</v>
      </c>
      <c r="C12939" s="4" t="n">
        <v>281</v>
      </c>
      <c r="D12939" s="4" t="n">
        <v>85.0025</v>
      </c>
      <c r="E12939" s="5" t="n">
        <v>764.7</v>
      </c>
      <c r="F12939" s="3" t="inlineStr">
        <is>
          <t>오송읍</t>
        </is>
      </c>
      <c r="G12939" s="3" t="inlineStr">
        <is>
          <t>연제리</t>
        </is>
      </c>
      <c r="H12939" s="3" t="inlineStr">
        <is>
          <t>단독다가구</t>
        </is>
      </c>
      <c r="I12939" s="3" t="inlineStr">
        <is>
          <t>다가구</t>
        </is>
      </c>
      <c r="J12939" s="3" t="inlineStr">
        <is>
          <t>오송읍</t>
        </is>
      </c>
    </row>
    <row r="12940">
      <c r="A12940" s="3" t="n">
        <v>2022</v>
      </c>
      <c r="B12940" s="4" t="n">
        <v>104800</v>
      </c>
      <c r="C12940" s="4" t="n">
        <v>651</v>
      </c>
      <c r="D12940" s="4" t="n">
        <v>196.9275</v>
      </c>
      <c r="E12940" s="5" t="n">
        <v>532.2</v>
      </c>
      <c r="F12940" s="3" t="inlineStr">
        <is>
          <t>오송읍</t>
        </is>
      </c>
      <c r="G12940" s="3" t="inlineStr">
        <is>
          <t>궁평리</t>
        </is>
      </c>
      <c r="H12940" s="3" t="inlineStr">
        <is>
          <t>단독다가구</t>
        </is>
      </c>
      <c r="I12940" s="3" t="inlineStr">
        <is>
          <t>단독</t>
        </is>
      </c>
      <c r="J12940" s="3" t="inlineStr">
        <is>
          <t>오송읍</t>
        </is>
      </c>
    </row>
    <row r="12941">
      <c r="A12941" s="3" t="n">
        <v>2022</v>
      </c>
      <c r="B12941" s="4" t="n">
        <v>105000</v>
      </c>
      <c r="C12941" s="4" t="n">
        <v>651</v>
      </c>
      <c r="D12941" s="4" t="n">
        <v>196.9275</v>
      </c>
      <c r="E12941" s="5" t="n">
        <v>533.2</v>
      </c>
      <c r="F12941" s="3" t="inlineStr">
        <is>
          <t>오송읍</t>
        </is>
      </c>
      <c r="G12941" s="3" t="inlineStr">
        <is>
          <t>궁평리</t>
        </is>
      </c>
      <c r="H12941" s="3" t="inlineStr">
        <is>
          <t>단독다가구</t>
        </is>
      </c>
      <c r="I12941" s="3" t="inlineStr">
        <is>
          <t>단독</t>
        </is>
      </c>
      <c r="J12941" s="3" t="inlineStr">
        <is>
          <t>오송읍</t>
        </is>
      </c>
    </row>
    <row r="12942">
      <c r="A12942" s="3" t="n">
        <v>2022</v>
      </c>
      <c r="B12942" s="4" t="n">
        <v>53000</v>
      </c>
      <c r="C12942" s="4" t="n">
        <v>1058</v>
      </c>
      <c r="D12942" s="4" t="n">
        <v>320.045</v>
      </c>
      <c r="E12942" s="5" t="n">
        <v>165.6</v>
      </c>
      <c r="F12942" s="3" t="inlineStr">
        <is>
          <t>강내면</t>
        </is>
      </c>
      <c r="G12942" s="3" t="inlineStr">
        <is>
          <t>월탄리</t>
        </is>
      </c>
      <c r="H12942" s="3" t="inlineStr">
        <is>
          <t>단독다가구</t>
        </is>
      </c>
      <c r="I12942" s="3" t="inlineStr">
        <is>
          <t>단독</t>
        </is>
      </c>
      <c r="J12942" s="3" t="inlineStr">
        <is>
          <t>강내면</t>
        </is>
      </c>
    </row>
    <row r="12943">
      <c r="A12943" s="3" t="n">
        <v>2022</v>
      </c>
      <c r="B12943" s="4" t="n">
        <v>73500</v>
      </c>
      <c r="C12943" s="4" t="n">
        <v>255.4</v>
      </c>
      <c r="D12943" s="4" t="n">
        <v>77.2585</v>
      </c>
      <c r="E12943" s="5" t="n">
        <v>951.4</v>
      </c>
      <c r="F12943" s="3" t="inlineStr">
        <is>
          <t>오송읍</t>
        </is>
      </c>
      <c r="G12943" s="3" t="inlineStr">
        <is>
          <t>만수리</t>
        </is>
      </c>
      <c r="H12943" s="3" t="inlineStr">
        <is>
          <t>단독다가구</t>
        </is>
      </c>
      <c r="I12943" s="3" t="inlineStr">
        <is>
          <t>다가구</t>
        </is>
      </c>
      <c r="J12943" s="3" t="inlineStr">
        <is>
          <t>오송읍</t>
        </is>
      </c>
    </row>
    <row r="12944">
      <c r="A12944" s="3" t="n">
        <v>2022</v>
      </c>
      <c r="B12944" s="4" t="n">
        <v>9000</v>
      </c>
      <c r="C12944" s="4" t="n">
        <v>395</v>
      </c>
      <c r="D12944" s="4" t="n">
        <v>119.4875</v>
      </c>
      <c r="E12944" s="5" t="n">
        <v>75.3</v>
      </c>
      <c r="F12944" s="3" t="inlineStr">
        <is>
          <t>강내면</t>
        </is>
      </c>
      <c r="G12944" s="3" t="inlineStr">
        <is>
          <t>다락리</t>
        </is>
      </c>
      <c r="H12944" s="3" t="inlineStr">
        <is>
          <t>단독다가구</t>
        </is>
      </c>
      <c r="I12944" s="3" t="inlineStr">
        <is>
          <t>단독</t>
        </is>
      </c>
      <c r="J12944" s="3" t="inlineStr">
        <is>
          <t>강내면</t>
        </is>
      </c>
    </row>
    <row r="12945">
      <c r="A12945" s="3" t="n">
        <v>2022</v>
      </c>
      <c r="B12945" s="4" t="n">
        <v>73000</v>
      </c>
      <c r="C12945" s="4" t="n">
        <v>278.9</v>
      </c>
      <c r="D12945" s="4" t="n">
        <v>84.36724999999998</v>
      </c>
      <c r="E12945" s="5" t="n">
        <v>865.3</v>
      </c>
      <c r="F12945" s="3" t="inlineStr">
        <is>
          <t>오송읍</t>
        </is>
      </c>
      <c r="G12945" s="3" t="inlineStr">
        <is>
          <t>만수리</t>
        </is>
      </c>
      <c r="H12945" s="3" t="inlineStr">
        <is>
          <t>단독다가구</t>
        </is>
      </c>
      <c r="I12945" s="3" t="inlineStr">
        <is>
          <t>단독</t>
        </is>
      </c>
      <c r="J12945" s="3" t="inlineStr">
        <is>
          <t>오송읍</t>
        </is>
      </c>
    </row>
    <row r="12946">
      <c r="A12946" s="3" t="n">
        <v>2022</v>
      </c>
      <c r="B12946" s="4" t="n">
        <v>27000</v>
      </c>
      <c r="C12946" s="4" t="n">
        <v>424</v>
      </c>
      <c r="D12946" s="4" t="n">
        <v>128.26</v>
      </c>
      <c r="E12946" s="5" t="n">
        <v>210.5</v>
      </c>
      <c r="F12946" s="3" t="inlineStr">
        <is>
          <t>오송읍</t>
        </is>
      </c>
      <c r="G12946" s="3" t="inlineStr">
        <is>
          <t>연제리</t>
        </is>
      </c>
      <c r="H12946" s="3" t="inlineStr">
        <is>
          <t>단독다가구</t>
        </is>
      </c>
      <c r="I12946" s="3" t="inlineStr">
        <is>
          <t>단독</t>
        </is>
      </c>
      <c r="J12946" s="3" t="inlineStr">
        <is>
          <t>오송읍</t>
        </is>
      </c>
    </row>
    <row r="12947">
      <c r="A12947" s="3" t="n">
        <v>2024</v>
      </c>
      <c r="B12947" s="4" t="n">
        <v>61000</v>
      </c>
      <c r="C12947" s="4" t="n">
        <v>522</v>
      </c>
      <c r="D12947" s="4" t="n">
        <v>157.905</v>
      </c>
      <c r="E12947" s="5" t="n">
        <v>386.3</v>
      </c>
      <c r="F12947" s="3" t="inlineStr">
        <is>
          <t>남이면</t>
        </is>
      </c>
      <c r="G12947" s="3" t="inlineStr">
        <is>
          <t>석판리</t>
        </is>
      </c>
      <c r="H12947" s="3" t="inlineStr">
        <is>
          <t>단독다가구</t>
        </is>
      </c>
      <c r="I12947" s="3" t="inlineStr">
        <is>
          <t>단독</t>
        </is>
      </c>
      <c r="J12947" s="3" t="inlineStr">
        <is>
          <t>남이면</t>
        </is>
      </c>
    </row>
    <row r="12948">
      <c r="A12948" s="3" t="n">
        <v>2024</v>
      </c>
      <c r="B12948" s="4" t="n">
        <v>10100</v>
      </c>
      <c r="C12948" s="4" t="n">
        <v>290</v>
      </c>
      <c r="D12948" s="4" t="n">
        <v>87.72499999999999</v>
      </c>
      <c r="E12948" s="5" t="n">
        <v>115.1</v>
      </c>
      <c r="F12948" s="3" t="inlineStr">
        <is>
          <t>남이면</t>
        </is>
      </c>
      <c r="G12948" s="3" t="inlineStr">
        <is>
          <t>수대리</t>
        </is>
      </c>
      <c r="H12948" s="3" t="inlineStr">
        <is>
          <t>단독다가구</t>
        </is>
      </c>
      <c r="I12948" s="3" t="inlineStr">
        <is>
          <t>단독</t>
        </is>
      </c>
      <c r="J12948" s="3" t="inlineStr">
        <is>
          <t>남이면</t>
        </is>
      </c>
    </row>
    <row r="12949">
      <c r="A12949" s="3" t="n">
        <v>2024</v>
      </c>
      <c r="B12949" s="4" t="n">
        <v>75000</v>
      </c>
      <c r="C12949" s="4" t="n">
        <v>1045</v>
      </c>
      <c r="D12949" s="4" t="n">
        <v>316.1125</v>
      </c>
      <c r="E12949" s="5" t="n">
        <v>237.3</v>
      </c>
      <c r="F12949" s="3" t="inlineStr">
        <is>
          <t>현도면</t>
        </is>
      </c>
      <c r="G12949" s="3" t="inlineStr">
        <is>
          <t>죽전리</t>
        </is>
      </c>
      <c r="H12949" s="3" t="inlineStr">
        <is>
          <t>단독다가구</t>
        </is>
      </c>
      <c r="I12949" s="3" t="inlineStr">
        <is>
          <t>단독</t>
        </is>
      </c>
      <c r="J12949" s="3" t="inlineStr">
        <is>
          <t>현도면</t>
        </is>
      </c>
    </row>
    <row r="12950">
      <c r="A12950" s="3" t="n">
        <v>2025</v>
      </c>
      <c r="B12950" s="4" t="n">
        <v>29720</v>
      </c>
      <c r="C12950" s="4" t="n">
        <v>502</v>
      </c>
      <c r="D12950" s="4" t="n">
        <v>151.855</v>
      </c>
      <c r="E12950" s="5" t="n">
        <v>195.7</v>
      </c>
      <c r="F12950" s="3" t="inlineStr">
        <is>
          <t>남이면</t>
        </is>
      </c>
      <c r="G12950" s="3" t="inlineStr">
        <is>
          <t>석판리</t>
        </is>
      </c>
      <c r="H12950" s="3" t="inlineStr">
        <is>
          <t>단독다가구</t>
        </is>
      </c>
      <c r="I12950" s="3" t="inlineStr">
        <is>
          <t>단독</t>
        </is>
      </c>
      <c r="J12950" s="3" t="inlineStr">
        <is>
          <t>남이면</t>
        </is>
      </c>
    </row>
    <row r="12951">
      <c r="A12951" s="3" t="n">
        <v>2025</v>
      </c>
      <c r="B12951" s="4" t="n">
        <v>43976</v>
      </c>
      <c r="C12951" s="4" t="n">
        <v>660</v>
      </c>
      <c r="D12951" s="4" t="n">
        <v>199.65</v>
      </c>
      <c r="E12951" s="5" t="n">
        <v>220.3</v>
      </c>
      <c r="F12951" s="3" t="inlineStr">
        <is>
          <t>남이면</t>
        </is>
      </c>
      <c r="G12951" s="3" t="inlineStr">
        <is>
          <t>양촌리</t>
        </is>
      </c>
      <c r="H12951" s="3" t="inlineStr">
        <is>
          <t>단독다가구</t>
        </is>
      </c>
      <c r="I12951" s="3" t="inlineStr">
        <is>
          <t>단독</t>
        </is>
      </c>
      <c r="J12951" s="3" t="inlineStr">
        <is>
          <t>남이면</t>
        </is>
      </c>
    </row>
    <row r="12952">
      <c r="A12952" s="3" t="n">
        <v>2025</v>
      </c>
      <c r="B12952" s="4" t="n">
        <v>10700</v>
      </c>
      <c r="C12952" s="4" t="n">
        <v>290</v>
      </c>
      <c r="D12952" s="4" t="n">
        <v>87.72499999999999</v>
      </c>
      <c r="E12952" s="5" t="n">
        <v>122</v>
      </c>
      <c r="F12952" s="3" t="inlineStr">
        <is>
          <t>남이면</t>
        </is>
      </c>
      <c r="G12952" s="3" t="inlineStr">
        <is>
          <t>산막리</t>
        </is>
      </c>
      <c r="H12952" s="3" t="inlineStr">
        <is>
          <t>단독다가구</t>
        </is>
      </c>
      <c r="I12952" s="3" t="inlineStr">
        <is>
          <t>단독</t>
        </is>
      </c>
      <c r="J12952" s="3" t="inlineStr">
        <is>
          <t>남이면</t>
        </is>
      </c>
    </row>
    <row r="12953">
      <c r="A12953" s="3" t="n">
        <v>2025</v>
      </c>
      <c r="B12953" s="4" t="n">
        <v>30200</v>
      </c>
      <c r="C12953" s="4" t="n">
        <v>543</v>
      </c>
      <c r="D12953" s="4" t="n">
        <v>164.2575</v>
      </c>
      <c r="E12953" s="5" t="n">
        <v>183.9</v>
      </c>
      <c r="F12953" s="3" t="inlineStr">
        <is>
          <t>남이면</t>
        </is>
      </c>
      <c r="G12953" s="3" t="inlineStr">
        <is>
          <t>팔봉리</t>
        </is>
      </c>
      <c r="H12953" s="3" t="inlineStr">
        <is>
          <t>단독다가구</t>
        </is>
      </c>
      <c r="I12953" s="3" t="inlineStr">
        <is>
          <t>단독</t>
        </is>
      </c>
      <c r="J12953" s="3" t="inlineStr">
        <is>
          <t>남이면</t>
        </is>
      </c>
    </row>
    <row r="12954">
      <c r="A12954" s="3" t="n">
        <v>2025</v>
      </c>
      <c r="B12954" s="4" t="n">
        <v>24950</v>
      </c>
      <c r="C12954" s="4" t="n">
        <v>379</v>
      </c>
      <c r="D12954" s="4" t="n">
        <v>114.6475</v>
      </c>
      <c r="E12954" s="5" t="n">
        <v>217.6</v>
      </c>
      <c r="F12954" s="3" t="inlineStr">
        <is>
          <t>남이면</t>
        </is>
      </c>
      <c r="G12954" s="3" t="inlineStr">
        <is>
          <t>수대리</t>
        </is>
      </c>
      <c r="H12954" s="3" t="inlineStr">
        <is>
          <t>단독다가구</t>
        </is>
      </c>
      <c r="I12954" s="3" t="inlineStr">
        <is>
          <t>단독</t>
        </is>
      </c>
      <c r="J12954" s="3" t="inlineStr">
        <is>
          <t>남이면</t>
        </is>
      </c>
    </row>
    <row r="12955">
      <c r="A12955" s="3" t="n">
        <v>2024</v>
      </c>
      <c r="B12955" s="4" t="n">
        <v>28100</v>
      </c>
      <c r="C12955" s="4" t="n">
        <v>334</v>
      </c>
      <c r="D12955" s="4" t="n">
        <v>101.035</v>
      </c>
      <c r="E12955" s="5" t="n">
        <v>278.1</v>
      </c>
      <c r="F12955" s="3" t="inlineStr">
        <is>
          <t>남이면</t>
        </is>
      </c>
      <c r="G12955" s="3" t="inlineStr">
        <is>
          <t>팔봉리</t>
        </is>
      </c>
      <c r="H12955" s="3" t="inlineStr">
        <is>
          <t>단독다가구</t>
        </is>
      </c>
      <c r="I12955" s="3" t="inlineStr">
        <is>
          <t>단독</t>
        </is>
      </c>
      <c r="J12955" s="3" t="inlineStr">
        <is>
          <t>남이면</t>
        </is>
      </c>
    </row>
    <row r="12956">
      <c r="A12956" s="3" t="n">
        <v>2025</v>
      </c>
      <c r="B12956" s="4" t="n">
        <v>23300</v>
      </c>
      <c r="C12956" s="4" t="n">
        <v>650</v>
      </c>
      <c r="D12956" s="4" t="n">
        <v>196.625</v>
      </c>
      <c r="E12956" s="5" t="n">
        <v>118.5</v>
      </c>
      <c r="F12956" s="3" t="inlineStr">
        <is>
          <t>남이면</t>
        </is>
      </c>
      <c r="G12956" s="3" t="inlineStr">
        <is>
          <t>문동리</t>
        </is>
      </c>
      <c r="H12956" s="3" t="inlineStr">
        <is>
          <t>단독다가구</t>
        </is>
      </c>
      <c r="I12956" s="3" t="inlineStr">
        <is>
          <t>단독</t>
        </is>
      </c>
      <c r="J12956" s="3" t="inlineStr">
        <is>
          <t>남이면</t>
        </is>
      </c>
    </row>
    <row r="12957">
      <c r="A12957" s="3" t="n">
        <v>2025</v>
      </c>
      <c r="B12957" s="4" t="n">
        <v>22000</v>
      </c>
      <c r="C12957" s="4" t="n">
        <v>951</v>
      </c>
      <c r="D12957" s="4" t="n">
        <v>287.6775</v>
      </c>
      <c r="E12957" s="5" t="n">
        <v>76.5</v>
      </c>
      <c r="F12957" s="3" t="inlineStr">
        <is>
          <t>남이면</t>
        </is>
      </c>
      <c r="G12957" s="3" t="inlineStr">
        <is>
          <t>갈원리</t>
        </is>
      </c>
      <c r="H12957" s="3" t="inlineStr">
        <is>
          <t>단독다가구</t>
        </is>
      </c>
      <c r="I12957" s="3" t="inlineStr">
        <is>
          <t>단독</t>
        </is>
      </c>
      <c r="J12957" s="3" t="inlineStr">
        <is>
          <t>남이면</t>
        </is>
      </c>
    </row>
    <row r="12958">
      <c r="A12958" s="3" t="n">
        <v>2025</v>
      </c>
      <c r="B12958" s="4" t="n">
        <v>40000</v>
      </c>
      <c r="C12958" s="4" t="n">
        <v>507</v>
      </c>
      <c r="D12958" s="4" t="n">
        <v>153.3675</v>
      </c>
      <c r="E12958" s="5" t="n">
        <v>260.8</v>
      </c>
      <c r="F12958" s="3" t="inlineStr">
        <is>
          <t>남이면</t>
        </is>
      </c>
      <c r="G12958" s="3" t="inlineStr">
        <is>
          <t>가좌리</t>
        </is>
      </c>
      <c r="H12958" s="3" t="inlineStr">
        <is>
          <t>단독다가구</t>
        </is>
      </c>
      <c r="I12958" s="3" t="inlineStr">
        <is>
          <t>단독</t>
        </is>
      </c>
      <c r="J12958" s="3" t="inlineStr">
        <is>
          <t>남이면</t>
        </is>
      </c>
    </row>
    <row r="12959">
      <c r="A12959" s="3" t="n">
        <v>2025</v>
      </c>
      <c r="B12959" s="4" t="n">
        <v>55500</v>
      </c>
      <c r="C12959" s="4" t="n">
        <v>636</v>
      </c>
      <c r="D12959" s="4" t="n">
        <v>192.39</v>
      </c>
      <c r="E12959" s="5" t="n">
        <v>288.5</v>
      </c>
      <c r="F12959" s="3" t="inlineStr">
        <is>
          <t>남이면</t>
        </is>
      </c>
      <c r="G12959" s="3" t="inlineStr">
        <is>
          <t>양촌리</t>
        </is>
      </c>
      <c r="H12959" s="3" t="inlineStr">
        <is>
          <t>단독다가구</t>
        </is>
      </c>
      <c r="I12959" s="3" t="inlineStr">
        <is>
          <t>단독</t>
        </is>
      </c>
      <c r="J12959" s="3" t="inlineStr">
        <is>
          <t>남이면</t>
        </is>
      </c>
    </row>
    <row r="12960">
      <c r="A12960" s="3" t="n">
        <v>2025</v>
      </c>
      <c r="B12960" s="4" t="n">
        <v>46200</v>
      </c>
      <c r="C12960" s="4" t="n">
        <v>541</v>
      </c>
      <c r="D12960" s="4" t="n">
        <v>163.6525</v>
      </c>
      <c r="E12960" s="5" t="n">
        <v>282.3</v>
      </c>
      <c r="F12960" s="3" t="inlineStr">
        <is>
          <t>남이면</t>
        </is>
      </c>
      <c r="G12960" s="3" t="inlineStr">
        <is>
          <t>가좌리</t>
        </is>
      </c>
      <c r="H12960" s="3" t="inlineStr">
        <is>
          <t>단독다가구</t>
        </is>
      </c>
      <c r="I12960" s="3" t="inlineStr">
        <is>
          <t>단독</t>
        </is>
      </c>
      <c r="J12960" s="3" t="inlineStr">
        <is>
          <t>남이면</t>
        </is>
      </c>
    </row>
    <row r="12961">
      <c r="A12961" s="3" t="n">
        <v>2025</v>
      </c>
      <c r="B12961" s="4" t="n">
        <v>69000</v>
      </c>
      <c r="C12961" s="4" t="n">
        <v>930</v>
      </c>
      <c r="D12961" s="4" t="n">
        <v>281.325</v>
      </c>
      <c r="E12961" s="5" t="n">
        <v>245.3</v>
      </c>
      <c r="F12961" s="3" t="inlineStr">
        <is>
          <t>남이면</t>
        </is>
      </c>
      <c r="G12961" s="3" t="inlineStr">
        <is>
          <t>석판리</t>
        </is>
      </c>
      <c r="H12961" s="3" t="inlineStr">
        <is>
          <t>단독다가구</t>
        </is>
      </c>
      <c r="I12961" s="3" t="inlineStr">
        <is>
          <t>단독</t>
        </is>
      </c>
      <c r="J12961" s="3" t="inlineStr">
        <is>
          <t>남이면</t>
        </is>
      </c>
    </row>
    <row r="12962">
      <c r="A12962" s="3" t="n">
        <v>2025</v>
      </c>
      <c r="B12962" s="4" t="n">
        <v>13000</v>
      </c>
      <c r="C12962" s="4" t="n">
        <v>251</v>
      </c>
      <c r="D12962" s="4" t="n">
        <v>75.92749999999999</v>
      </c>
      <c r="E12962" s="5" t="n">
        <v>171.2</v>
      </c>
      <c r="F12962" s="3" t="inlineStr">
        <is>
          <t>남이면</t>
        </is>
      </c>
      <c r="G12962" s="3" t="inlineStr">
        <is>
          <t>척산리</t>
        </is>
      </c>
      <c r="H12962" s="3" t="inlineStr">
        <is>
          <t>단독다가구</t>
        </is>
      </c>
      <c r="I12962" s="3" t="inlineStr">
        <is>
          <t>단독</t>
        </is>
      </c>
      <c r="J12962" s="3" t="inlineStr">
        <is>
          <t>남이면</t>
        </is>
      </c>
    </row>
    <row r="12963">
      <c r="A12963" s="3" t="n">
        <v>2025</v>
      </c>
      <c r="B12963" s="4" t="n">
        <v>8500</v>
      </c>
      <c r="C12963" s="4" t="n">
        <v>158</v>
      </c>
      <c r="D12963" s="4" t="n">
        <v>47.795</v>
      </c>
      <c r="E12963" s="5" t="n">
        <v>177.8</v>
      </c>
      <c r="F12963" s="3" t="inlineStr">
        <is>
          <t>남이면</t>
        </is>
      </c>
      <c r="G12963" s="3" t="inlineStr">
        <is>
          <t>척산리</t>
        </is>
      </c>
      <c r="H12963" s="3" t="inlineStr">
        <is>
          <t>단독다가구</t>
        </is>
      </c>
      <c r="I12963" s="3" t="inlineStr">
        <is>
          <t>단독</t>
        </is>
      </c>
      <c r="J12963" s="3" t="inlineStr">
        <is>
          <t>남이면</t>
        </is>
      </c>
    </row>
    <row r="12964">
      <c r="A12964" s="3" t="n">
        <v>2025</v>
      </c>
      <c r="B12964" s="4" t="n">
        <v>24340</v>
      </c>
      <c r="C12964" s="4" t="n">
        <v>515</v>
      </c>
      <c r="D12964" s="4" t="n">
        <v>155.7875</v>
      </c>
      <c r="E12964" s="5" t="n">
        <v>156.2</v>
      </c>
      <c r="F12964" s="3" t="inlineStr">
        <is>
          <t>남이면</t>
        </is>
      </c>
      <c r="G12964" s="3" t="inlineStr">
        <is>
          <t>수대리</t>
        </is>
      </c>
      <c r="H12964" s="3" t="inlineStr">
        <is>
          <t>단독다가구</t>
        </is>
      </c>
      <c r="I12964" s="3" t="inlineStr">
        <is>
          <t>단독</t>
        </is>
      </c>
      <c r="J12964" s="3" t="inlineStr">
        <is>
          <t>남이면</t>
        </is>
      </c>
    </row>
    <row r="12965">
      <c r="A12965" s="3" t="n">
        <v>2025</v>
      </c>
      <c r="B12965" s="4" t="n">
        <v>52000</v>
      </c>
      <c r="C12965" s="4" t="n">
        <v>597</v>
      </c>
      <c r="D12965" s="4" t="n">
        <v>180.5925</v>
      </c>
      <c r="E12965" s="5" t="n">
        <v>287.9</v>
      </c>
      <c r="F12965" s="3" t="inlineStr">
        <is>
          <t>남이면</t>
        </is>
      </c>
      <c r="G12965" s="3" t="inlineStr">
        <is>
          <t>가좌리</t>
        </is>
      </c>
      <c r="H12965" s="3" t="inlineStr">
        <is>
          <t>단독다가구</t>
        </is>
      </c>
      <c r="I12965" s="3" t="inlineStr">
        <is>
          <t>단독</t>
        </is>
      </c>
      <c r="J12965" s="3" t="inlineStr">
        <is>
          <t>남이면</t>
        </is>
      </c>
    </row>
    <row r="12966">
      <c r="A12966" s="3" t="n">
        <v>2022</v>
      </c>
      <c r="B12966" s="4" t="n">
        <v>33500</v>
      </c>
      <c r="C12966" s="4" t="n">
        <v>639</v>
      </c>
      <c r="D12966" s="4" t="n">
        <v>193.2975</v>
      </c>
      <c r="E12966" s="5" t="n">
        <v>173.3</v>
      </c>
      <c r="F12966" s="3" t="inlineStr">
        <is>
          <t>남이면</t>
        </is>
      </c>
      <c r="G12966" s="3" t="inlineStr">
        <is>
          <t>외천리</t>
        </is>
      </c>
      <c r="H12966" s="3" t="inlineStr">
        <is>
          <t>단독다가구</t>
        </is>
      </c>
      <c r="I12966" s="3" t="inlineStr">
        <is>
          <t>단독</t>
        </is>
      </c>
      <c r="J12966" s="3" t="inlineStr">
        <is>
          <t>남이면</t>
        </is>
      </c>
    </row>
    <row r="12967">
      <c r="A12967" s="3" t="n">
        <v>2022</v>
      </c>
      <c r="B12967" s="4" t="n">
        <v>58950</v>
      </c>
      <c r="C12967" s="4" t="n">
        <v>575</v>
      </c>
      <c r="D12967" s="4" t="n">
        <v>173.9375</v>
      </c>
      <c r="E12967" s="5" t="n">
        <v>338.9</v>
      </c>
      <c r="F12967" s="3" t="inlineStr">
        <is>
          <t>남이면</t>
        </is>
      </c>
      <c r="G12967" s="3" t="inlineStr">
        <is>
          <t>양촌리</t>
        </is>
      </c>
      <c r="H12967" s="3" t="inlineStr">
        <is>
          <t>단독다가구</t>
        </is>
      </c>
      <c r="I12967" s="3" t="inlineStr">
        <is>
          <t>단독</t>
        </is>
      </c>
      <c r="J12967" s="3" t="inlineStr">
        <is>
          <t>남이면</t>
        </is>
      </c>
    </row>
    <row r="12968">
      <c r="A12968" s="3" t="n">
        <v>2022</v>
      </c>
      <c r="B12968" s="4" t="n">
        <v>25700</v>
      </c>
      <c r="C12968" s="4" t="n">
        <v>486</v>
      </c>
      <c r="D12968" s="4" t="n">
        <v>147.015</v>
      </c>
      <c r="E12968" s="5" t="n">
        <v>174.8</v>
      </c>
      <c r="F12968" s="3" t="inlineStr">
        <is>
          <t>남이면</t>
        </is>
      </c>
      <c r="G12968" s="3" t="inlineStr">
        <is>
          <t>상발리</t>
        </is>
      </c>
      <c r="H12968" s="3" t="inlineStr">
        <is>
          <t>단독다가구</t>
        </is>
      </c>
      <c r="I12968" s="3" t="inlineStr">
        <is>
          <t>단독</t>
        </is>
      </c>
      <c r="J12968" s="3" t="inlineStr">
        <is>
          <t>남이면</t>
        </is>
      </c>
    </row>
    <row r="12969">
      <c r="A12969" s="3" t="n">
        <v>2022</v>
      </c>
      <c r="B12969" s="4" t="n">
        <v>45000</v>
      </c>
      <c r="C12969" s="4" t="n">
        <v>766</v>
      </c>
      <c r="D12969" s="4" t="n">
        <v>231.715</v>
      </c>
      <c r="E12969" s="5" t="n">
        <v>194.2</v>
      </c>
      <c r="F12969" s="3" t="inlineStr">
        <is>
          <t>남이면</t>
        </is>
      </c>
      <c r="G12969" s="3" t="inlineStr">
        <is>
          <t>양촌리</t>
        </is>
      </c>
      <c r="H12969" s="3" t="inlineStr">
        <is>
          <t>단독다가구</t>
        </is>
      </c>
      <c r="I12969" s="3" t="inlineStr">
        <is>
          <t>단독</t>
        </is>
      </c>
      <c r="J12969" s="3" t="inlineStr">
        <is>
          <t>남이면</t>
        </is>
      </c>
    </row>
    <row r="12970">
      <c r="A12970" s="3" t="n">
        <v>2022</v>
      </c>
      <c r="B12970" s="4" t="n">
        <v>28830</v>
      </c>
      <c r="C12970" s="4" t="n">
        <v>414</v>
      </c>
      <c r="D12970" s="4" t="n">
        <v>125.235</v>
      </c>
      <c r="E12970" s="5" t="n">
        <v>230.2</v>
      </c>
      <c r="F12970" s="3" t="inlineStr">
        <is>
          <t>남이면</t>
        </is>
      </c>
      <c r="G12970" s="3" t="inlineStr">
        <is>
          <t>수대리</t>
        </is>
      </c>
      <c r="H12970" s="3" t="inlineStr">
        <is>
          <t>단독다가구</t>
        </is>
      </c>
      <c r="I12970" s="3" t="inlineStr">
        <is>
          <t>단독</t>
        </is>
      </c>
      <c r="J12970" s="3" t="inlineStr">
        <is>
          <t>남이면</t>
        </is>
      </c>
    </row>
    <row r="12971">
      <c r="A12971" s="3" t="n">
        <v>2022</v>
      </c>
      <c r="B12971" s="4" t="n">
        <v>39000</v>
      </c>
      <c r="C12971" s="4" t="n">
        <v>527</v>
      </c>
      <c r="D12971" s="4" t="n">
        <v>159.4175</v>
      </c>
      <c r="E12971" s="5" t="n">
        <v>244.6</v>
      </c>
      <c r="F12971" s="3" t="inlineStr">
        <is>
          <t>남이면</t>
        </is>
      </c>
      <c r="G12971" s="3" t="inlineStr">
        <is>
          <t>가좌리</t>
        </is>
      </c>
      <c r="H12971" s="3" t="inlineStr">
        <is>
          <t>단독다가구</t>
        </is>
      </c>
      <c r="I12971" s="3" t="inlineStr">
        <is>
          <t>단독</t>
        </is>
      </c>
      <c r="J12971" s="3" t="inlineStr">
        <is>
          <t>남이면</t>
        </is>
      </c>
    </row>
    <row r="12972">
      <c r="A12972" s="3" t="n">
        <v>2022</v>
      </c>
      <c r="B12972" s="4" t="n">
        <v>37700</v>
      </c>
      <c r="C12972" s="4" t="n">
        <v>669</v>
      </c>
      <c r="D12972" s="4" t="n">
        <v>202.3725</v>
      </c>
      <c r="E12972" s="5" t="n">
        <v>186.3</v>
      </c>
      <c r="F12972" s="3" t="inlineStr">
        <is>
          <t>남이면</t>
        </is>
      </c>
      <c r="G12972" s="3" t="inlineStr">
        <is>
          <t>팔봉리</t>
        </is>
      </c>
      <c r="H12972" s="3" t="inlineStr">
        <is>
          <t>단독다가구</t>
        </is>
      </c>
      <c r="I12972" s="3" t="inlineStr">
        <is>
          <t>단독</t>
        </is>
      </c>
      <c r="J12972" s="3" t="inlineStr">
        <is>
          <t>남이면</t>
        </is>
      </c>
    </row>
    <row r="12973">
      <c r="A12973" s="3" t="n">
        <v>2022</v>
      </c>
      <c r="B12973" s="4" t="n">
        <v>26875</v>
      </c>
      <c r="C12973" s="4" t="n">
        <v>651</v>
      </c>
      <c r="D12973" s="4" t="n">
        <v>196.9275</v>
      </c>
      <c r="E12973" s="5" t="n">
        <v>136.5</v>
      </c>
      <c r="F12973" s="3" t="inlineStr">
        <is>
          <t>남이면</t>
        </is>
      </c>
      <c r="G12973" s="3" t="inlineStr">
        <is>
          <t>가좌리</t>
        </is>
      </c>
      <c r="H12973" s="3" t="inlineStr">
        <is>
          <t>단독다가구</t>
        </is>
      </c>
      <c r="I12973" s="3" t="inlineStr">
        <is>
          <t>단독</t>
        </is>
      </c>
      <c r="J12973" s="3" t="inlineStr">
        <is>
          <t>남이면</t>
        </is>
      </c>
    </row>
    <row r="12974">
      <c r="A12974" s="3" t="n">
        <v>2022</v>
      </c>
      <c r="B12974" s="4" t="n">
        <v>29000</v>
      </c>
      <c r="C12974" s="4" t="n">
        <v>436.5</v>
      </c>
      <c r="D12974" s="4" t="n">
        <v>132.04125</v>
      </c>
      <c r="E12974" s="5" t="n">
        <v>219.6</v>
      </c>
      <c r="F12974" s="3" t="inlineStr">
        <is>
          <t>남이면</t>
        </is>
      </c>
      <c r="G12974" s="3" t="inlineStr">
        <is>
          <t>수대리</t>
        </is>
      </c>
      <c r="H12974" s="3" t="inlineStr">
        <is>
          <t>단독다가구</t>
        </is>
      </c>
      <c r="I12974" s="3" t="inlineStr">
        <is>
          <t>단독</t>
        </is>
      </c>
      <c r="J12974" s="3" t="inlineStr">
        <is>
          <t>남이면</t>
        </is>
      </c>
    </row>
    <row r="12975">
      <c r="A12975" s="3" t="n">
        <v>2022</v>
      </c>
      <c r="B12975" s="4" t="n">
        <v>59500</v>
      </c>
      <c r="C12975" s="4" t="n">
        <v>914</v>
      </c>
      <c r="D12975" s="4" t="n">
        <v>276.485</v>
      </c>
      <c r="E12975" s="5" t="n">
        <v>215.2</v>
      </c>
      <c r="F12975" s="3" t="inlineStr">
        <is>
          <t>남이면</t>
        </is>
      </c>
      <c r="G12975" s="3" t="inlineStr">
        <is>
          <t>양촌리</t>
        </is>
      </c>
      <c r="H12975" s="3" t="inlineStr">
        <is>
          <t>단독다가구</t>
        </is>
      </c>
      <c r="I12975" s="3" t="inlineStr">
        <is>
          <t>단독</t>
        </is>
      </c>
      <c r="J12975" s="3" t="inlineStr">
        <is>
          <t>남이면</t>
        </is>
      </c>
    </row>
    <row r="12976">
      <c r="A12976" s="3" t="n">
        <v>2024</v>
      </c>
      <c r="B12976" s="4" t="n">
        <v>21000</v>
      </c>
      <c r="C12976" s="4" t="n">
        <v>627</v>
      </c>
      <c r="D12976" s="4" t="n">
        <v>189.6675</v>
      </c>
      <c r="E12976" s="5" t="n">
        <v>110.7</v>
      </c>
      <c r="F12976" s="3" t="inlineStr">
        <is>
          <t>남이면</t>
        </is>
      </c>
      <c r="G12976" s="3" t="inlineStr">
        <is>
          <t>외천리</t>
        </is>
      </c>
      <c r="H12976" s="3" t="inlineStr">
        <is>
          <t>단독다가구</t>
        </is>
      </c>
      <c r="I12976" s="3" t="inlineStr">
        <is>
          <t>단독</t>
        </is>
      </c>
      <c r="J12976" s="3" t="inlineStr">
        <is>
          <t>남이면</t>
        </is>
      </c>
    </row>
    <row r="12977">
      <c r="A12977" s="3" t="n">
        <v>2024</v>
      </c>
      <c r="B12977" s="4" t="n">
        <v>13000</v>
      </c>
      <c r="C12977" s="4" t="n">
        <v>576</v>
      </c>
      <c r="D12977" s="4" t="n">
        <v>174.24</v>
      </c>
      <c r="E12977" s="5" t="n">
        <v>74.59999999999999</v>
      </c>
      <c r="F12977" s="3" t="inlineStr">
        <is>
          <t>현도면</t>
        </is>
      </c>
      <c r="G12977" s="3" t="inlineStr">
        <is>
          <t>시목리</t>
        </is>
      </c>
      <c r="H12977" s="3" t="inlineStr">
        <is>
          <t>단독다가구</t>
        </is>
      </c>
      <c r="I12977" s="3" t="inlineStr">
        <is>
          <t>단독</t>
        </is>
      </c>
      <c r="J12977" s="3" t="inlineStr">
        <is>
          <t>현도면</t>
        </is>
      </c>
    </row>
    <row r="12978">
      <c r="A12978" s="3" t="n">
        <v>2024</v>
      </c>
      <c r="B12978" s="4" t="n">
        <v>14000</v>
      </c>
      <c r="C12978" s="4" t="n">
        <v>173</v>
      </c>
      <c r="D12978" s="4" t="n">
        <v>52.3325</v>
      </c>
      <c r="E12978" s="5" t="n">
        <v>267.5</v>
      </c>
      <c r="F12978" s="3" t="inlineStr">
        <is>
          <t>남이면</t>
        </is>
      </c>
      <c r="G12978" s="3" t="inlineStr">
        <is>
          <t>양촌리</t>
        </is>
      </c>
      <c r="H12978" s="3" t="inlineStr">
        <is>
          <t>단독다가구</t>
        </is>
      </c>
      <c r="I12978" s="3" t="inlineStr">
        <is>
          <t>단독</t>
        </is>
      </c>
      <c r="J12978" s="3" t="inlineStr">
        <is>
          <t>남이면</t>
        </is>
      </c>
    </row>
    <row r="12979">
      <c r="A12979" s="3" t="n">
        <v>2024</v>
      </c>
      <c r="B12979" s="4" t="n">
        <v>41800</v>
      </c>
      <c r="C12979" s="4" t="n">
        <v>450</v>
      </c>
      <c r="D12979" s="4" t="n">
        <v>136.125</v>
      </c>
      <c r="E12979" s="5" t="n">
        <v>307.1</v>
      </c>
      <c r="F12979" s="3" t="inlineStr">
        <is>
          <t>남이면</t>
        </is>
      </c>
      <c r="G12979" s="3" t="inlineStr">
        <is>
          <t>가좌리</t>
        </is>
      </c>
      <c r="H12979" s="3" t="inlineStr">
        <is>
          <t>단독다가구</t>
        </is>
      </c>
      <c r="I12979" s="3" t="inlineStr">
        <is>
          <t>단독</t>
        </is>
      </c>
      <c r="J12979" s="3" t="inlineStr">
        <is>
          <t>남이면</t>
        </is>
      </c>
    </row>
    <row r="12980">
      <c r="A12980" s="3" t="n">
        <v>2024</v>
      </c>
      <c r="B12980" s="4" t="n">
        <v>30707</v>
      </c>
      <c r="C12980" s="4" t="n">
        <v>561</v>
      </c>
      <c r="D12980" s="4" t="n">
        <v>169.7025</v>
      </c>
      <c r="E12980" s="5" t="n">
        <v>180.9</v>
      </c>
      <c r="F12980" s="3" t="inlineStr">
        <is>
          <t>남이면</t>
        </is>
      </c>
      <c r="G12980" s="3" t="inlineStr">
        <is>
          <t>외천리</t>
        </is>
      </c>
      <c r="H12980" s="3" t="inlineStr">
        <is>
          <t>단독다가구</t>
        </is>
      </c>
      <c r="I12980" s="3" t="inlineStr">
        <is>
          <t>단독</t>
        </is>
      </c>
      <c r="J12980" s="3" t="inlineStr">
        <is>
          <t>남이면</t>
        </is>
      </c>
    </row>
    <row r="12981">
      <c r="A12981" s="3" t="n">
        <v>2024</v>
      </c>
      <c r="B12981" s="4" t="n">
        <v>31076</v>
      </c>
      <c r="C12981" s="4" t="n">
        <v>561</v>
      </c>
      <c r="D12981" s="4" t="n">
        <v>169.7025</v>
      </c>
      <c r="E12981" s="5" t="n">
        <v>183.1</v>
      </c>
      <c r="F12981" s="3" t="inlineStr">
        <is>
          <t>남이면</t>
        </is>
      </c>
      <c r="G12981" s="3" t="inlineStr">
        <is>
          <t>외천리</t>
        </is>
      </c>
      <c r="H12981" s="3" t="inlineStr">
        <is>
          <t>단독다가구</t>
        </is>
      </c>
      <c r="I12981" s="3" t="inlineStr">
        <is>
          <t>단독</t>
        </is>
      </c>
      <c r="J12981" s="3" t="inlineStr">
        <is>
          <t>남이면</t>
        </is>
      </c>
    </row>
    <row r="12982">
      <c r="A12982" s="3" t="n">
        <v>2024</v>
      </c>
      <c r="B12982" s="4" t="n">
        <v>41650</v>
      </c>
      <c r="C12982" s="4" t="n">
        <v>521</v>
      </c>
      <c r="D12982" s="4" t="n">
        <v>157.6025</v>
      </c>
      <c r="E12982" s="5" t="n">
        <v>264.3</v>
      </c>
      <c r="F12982" s="3" t="inlineStr">
        <is>
          <t>오송읍</t>
        </is>
      </c>
      <c r="G12982" s="3" t="inlineStr">
        <is>
          <t>정중리</t>
        </is>
      </c>
      <c r="H12982" s="3" t="inlineStr">
        <is>
          <t>단독다가구</t>
        </is>
      </c>
      <c r="I12982" s="3" t="inlineStr">
        <is>
          <t>단독</t>
        </is>
      </c>
      <c r="J12982" s="3" t="inlineStr">
        <is>
          <t>오송읍</t>
        </is>
      </c>
    </row>
    <row r="12983">
      <c r="A12983" s="3" t="n">
        <v>2024</v>
      </c>
      <c r="B12983" s="4" t="n">
        <v>9500</v>
      </c>
      <c r="C12983" s="4" t="n">
        <v>228</v>
      </c>
      <c r="D12983" s="4" t="n">
        <v>68.97</v>
      </c>
      <c r="E12983" s="5" t="n">
        <v>137.7</v>
      </c>
      <c r="F12983" s="3" t="inlineStr">
        <is>
          <t>남이면</t>
        </is>
      </c>
      <c r="G12983" s="3" t="inlineStr">
        <is>
          <t>석판리</t>
        </is>
      </c>
      <c r="H12983" s="3" t="inlineStr">
        <is>
          <t>단독다가구</t>
        </is>
      </c>
      <c r="I12983" s="3" t="inlineStr">
        <is>
          <t>단독</t>
        </is>
      </c>
      <c r="J12983" s="3" t="inlineStr">
        <is>
          <t>남이면</t>
        </is>
      </c>
    </row>
    <row r="12984">
      <c r="A12984" s="3" t="n">
        <v>2024</v>
      </c>
      <c r="B12984" s="4" t="n">
        <v>19664</v>
      </c>
      <c r="C12984" s="4" t="n">
        <v>500</v>
      </c>
      <c r="D12984" s="4" t="n">
        <v>151.25</v>
      </c>
      <c r="E12984" s="5" t="n">
        <v>130</v>
      </c>
      <c r="F12984" s="3" t="inlineStr">
        <is>
          <t>남이면</t>
        </is>
      </c>
      <c r="G12984" s="3" t="inlineStr">
        <is>
          <t>척산리</t>
        </is>
      </c>
      <c r="H12984" s="3" t="inlineStr">
        <is>
          <t>단독다가구</t>
        </is>
      </c>
      <c r="I12984" s="3" t="inlineStr">
        <is>
          <t>단독</t>
        </is>
      </c>
      <c r="J12984" s="3" t="inlineStr">
        <is>
          <t>남이면</t>
        </is>
      </c>
    </row>
    <row r="12985">
      <c r="A12985" s="3" t="n">
        <v>2022</v>
      </c>
      <c r="B12985" s="4" t="n">
        <v>46300</v>
      </c>
      <c r="C12985" s="4" t="n">
        <v>526</v>
      </c>
      <c r="D12985" s="4" t="n">
        <v>159.115</v>
      </c>
      <c r="E12985" s="5" t="n">
        <v>291</v>
      </c>
      <c r="F12985" s="3" t="inlineStr">
        <is>
          <t>남이면</t>
        </is>
      </c>
      <c r="G12985" s="3" t="inlineStr">
        <is>
          <t>양촌리</t>
        </is>
      </c>
      <c r="H12985" s="3" t="inlineStr">
        <is>
          <t>단독다가구</t>
        </is>
      </c>
      <c r="I12985" s="3" t="inlineStr">
        <is>
          <t>단독</t>
        </is>
      </c>
      <c r="J12985" s="3" t="inlineStr">
        <is>
          <t>남이면</t>
        </is>
      </c>
    </row>
    <row r="12986">
      <c r="A12986" s="3" t="n">
        <v>2022</v>
      </c>
      <c r="B12986" s="4" t="n">
        <v>49100</v>
      </c>
      <c r="C12986" s="4" t="n">
        <v>655</v>
      </c>
      <c r="D12986" s="4" t="n">
        <v>198.1375</v>
      </c>
      <c r="E12986" s="5" t="n">
        <v>247.8</v>
      </c>
      <c r="F12986" s="3" t="inlineStr">
        <is>
          <t>남이면</t>
        </is>
      </c>
      <c r="G12986" s="3" t="inlineStr">
        <is>
          <t>문동리</t>
        </is>
      </c>
      <c r="H12986" s="3" t="inlineStr">
        <is>
          <t>단독다가구</t>
        </is>
      </c>
      <c r="I12986" s="3" t="inlineStr">
        <is>
          <t>단독</t>
        </is>
      </c>
      <c r="J12986" s="3" t="inlineStr">
        <is>
          <t>남이면</t>
        </is>
      </c>
    </row>
    <row r="12987">
      <c r="A12987" s="3" t="n">
        <v>2022</v>
      </c>
      <c r="B12987" s="4" t="n">
        <v>37465</v>
      </c>
      <c r="C12987" s="4" t="n">
        <v>414</v>
      </c>
      <c r="D12987" s="4" t="n">
        <v>125.235</v>
      </c>
      <c r="E12987" s="5" t="n">
        <v>299.2</v>
      </c>
      <c r="F12987" s="3" t="inlineStr">
        <is>
          <t>남이면</t>
        </is>
      </c>
      <c r="G12987" s="3" t="inlineStr">
        <is>
          <t>팔봉리</t>
        </is>
      </c>
      <c r="H12987" s="3" t="inlineStr">
        <is>
          <t>단독다가구</t>
        </is>
      </c>
      <c r="I12987" s="3" t="inlineStr">
        <is>
          <t>단독</t>
        </is>
      </c>
      <c r="J12987" s="3" t="inlineStr">
        <is>
          <t>남이면</t>
        </is>
      </c>
    </row>
    <row r="12988">
      <c r="A12988" s="3" t="n">
        <v>2022</v>
      </c>
      <c r="B12988" s="4" t="n">
        <v>36620</v>
      </c>
      <c r="C12988" s="4" t="n">
        <v>414</v>
      </c>
      <c r="D12988" s="4" t="n">
        <v>125.235</v>
      </c>
      <c r="E12988" s="5" t="n">
        <v>292.4</v>
      </c>
      <c r="F12988" s="3" t="inlineStr">
        <is>
          <t>남이면</t>
        </is>
      </c>
      <c r="G12988" s="3" t="inlineStr">
        <is>
          <t>팔봉리</t>
        </is>
      </c>
      <c r="H12988" s="3" t="inlineStr">
        <is>
          <t>단독다가구</t>
        </is>
      </c>
      <c r="I12988" s="3" t="inlineStr">
        <is>
          <t>단독</t>
        </is>
      </c>
      <c r="J12988" s="3" t="inlineStr">
        <is>
          <t>남이면</t>
        </is>
      </c>
    </row>
    <row r="12989">
      <c r="A12989" s="3" t="n">
        <v>2022</v>
      </c>
      <c r="B12989" s="4" t="n">
        <v>35000</v>
      </c>
      <c r="C12989" s="4" t="n">
        <v>250</v>
      </c>
      <c r="D12989" s="4" t="n">
        <v>75.625</v>
      </c>
      <c r="E12989" s="5" t="n">
        <v>462.8</v>
      </c>
      <c r="F12989" s="3" t="inlineStr">
        <is>
          <t>남이면</t>
        </is>
      </c>
      <c r="G12989" s="3" t="inlineStr">
        <is>
          <t>가마리</t>
        </is>
      </c>
      <c r="H12989" s="3" t="inlineStr">
        <is>
          <t>단독다가구</t>
        </is>
      </c>
      <c r="I12989" s="3" t="inlineStr">
        <is>
          <t>단독</t>
        </is>
      </c>
      <c r="J12989" s="3" t="inlineStr">
        <is>
          <t>남이면</t>
        </is>
      </c>
    </row>
    <row r="12990">
      <c r="A12990" s="3" t="n">
        <v>2022</v>
      </c>
      <c r="B12990" s="4" t="n">
        <v>3000</v>
      </c>
      <c r="C12990" s="4" t="n">
        <v>223</v>
      </c>
      <c r="D12990" s="4" t="n">
        <v>67.4575</v>
      </c>
      <c r="E12990" s="5" t="n">
        <v>44.5</v>
      </c>
      <c r="F12990" s="3" t="inlineStr">
        <is>
          <t>현도면</t>
        </is>
      </c>
      <c r="G12990" s="3" t="inlineStr">
        <is>
          <t>중척리</t>
        </is>
      </c>
      <c r="H12990" s="3" t="inlineStr">
        <is>
          <t>단독다가구</t>
        </is>
      </c>
      <c r="I12990" s="3" t="inlineStr">
        <is>
          <t>단독</t>
        </is>
      </c>
      <c r="J12990" s="3" t="inlineStr">
        <is>
          <t>현도면</t>
        </is>
      </c>
    </row>
    <row r="12991">
      <c r="A12991" s="3" t="n">
        <v>2022</v>
      </c>
      <c r="B12991" s="4" t="n">
        <v>4570</v>
      </c>
      <c r="C12991" s="4" t="n">
        <v>106.1494</v>
      </c>
      <c r="D12991" s="4" t="n">
        <v>32.1101935</v>
      </c>
      <c r="E12991" s="5" t="n">
        <v>142.3</v>
      </c>
      <c r="F12991" s="3" t="inlineStr">
        <is>
          <t>현도면</t>
        </is>
      </c>
      <c r="G12991" s="3" t="inlineStr">
        <is>
          <t>매봉리</t>
        </is>
      </c>
      <c r="H12991" s="3" t="inlineStr">
        <is>
          <t>단독다가구</t>
        </is>
      </c>
      <c r="I12991" s="3" t="inlineStr">
        <is>
          <t>단독</t>
        </is>
      </c>
      <c r="J12991" s="3" t="inlineStr">
        <is>
          <t>현도면</t>
        </is>
      </c>
    </row>
    <row r="12992">
      <c r="A12992" s="3" t="n">
        <v>2022</v>
      </c>
      <c r="B12992" s="4" t="n">
        <v>4460</v>
      </c>
      <c r="C12992" s="4" t="n">
        <v>133.1419</v>
      </c>
      <c r="D12992" s="4" t="n">
        <v>40.27542475</v>
      </c>
      <c r="E12992" s="5" t="n">
        <v>110.7</v>
      </c>
      <c r="F12992" s="3" t="inlineStr">
        <is>
          <t>현도면</t>
        </is>
      </c>
      <c r="G12992" s="3" t="inlineStr">
        <is>
          <t>매봉리</t>
        </is>
      </c>
      <c r="H12992" s="3" t="inlineStr">
        <is>
          <t>단독다가구</t>
        </is>
      </c>
      <c r="I12992" s="3" t="inlineStr">
        <is>
          <t>단독</t>
        </is>
      </c>
      <c r="J12992" s="3" t="inlineStr">
        <is>
          <t>현도면</t>
        </is>
      </c>
    </row>
    <row r="12993">
      <c r="A12993" s="3" t="n">
        <v>2022</v>
      </c>
      <c r="B12993" s="4" t="n">
        <v>5040</v>
      </c>
      <c r="C12993" s="4" t="n">
        <v>199.7088</v>
      </c>
      <c r="D12993" s="4" t="n">
        <v>60.41191199999999</v>
      </c>
      <c r="E12993" s="5" t="n">
        <v>83.40000000000001</v>
      </c>
      <c r="F12993" s="3" t="inlineStr">
        <is>
          <t>현도면</t>
        </is>
      </c>
      <c r="G12993" s="3" t="inlineStr">
        <is>
          <t>매봉리</t>
        </is>
      </c>
      <c r="H12993" s="3" t="inlineStr">
        <is>
          <t>단독다가구</t>
        </is>
      </c>
      <c r="I12993" s="3" t="inlineStr">
        <is>
          <t>단독</t>
        </is>
      </c>
      <c r="J12993" s="3" t="inlineStr">
        <is>
          <t>현도면</t>
        </is>
      </c>
    </row>
    <row r="12994">
      <c r="A12994" s="3" t="n">
        <v>2022</v>
      </c>
      <c r="B12994" s="4" t="n">
        <v>37500</v>
      </c>
      <c r="C12994" s="4" t="n">
        <v>673</v>
      </c>
      <c r="D12994" s="4" t="n">
        <v>203.5825</v>
      </c>
      <c r="E12994" s="5" t="n">
        <v>184.2</v>
      </c>
      <c r="F12994" s="3" t="inlineStr">
        <is>
          <t>남이면</t>
        </is>
      </c>
      <c r="G12994" s="3" t="inlineStr">
        <is>
          <t>양촌리</t>
        </is>
      </c>
      <c r="H12994" s="3" t="inlineStr">
        <is>
          <t>단독다가구</t>
        </is>
      </c>
      <c r="I12994" s="3" t="inlineStr">
        <is>
          <t>단독</t>
        </is>
      </c>
      <c r="J12994" s="3" t="inlineStr">
        <is>
          <t>남이면</t>
        </is>
      </c>
    </row>
    <row r="12995">
      <c r="A12995" s="3" t="n">
        <v>2022</v>
      </c>
      <c r="B12995" s="4" t="n">
        <v>55000</v>
      </c>
      <c r="C12995" s="4" t="n">
        <v>732</v>
      </c>
      <c r="D12995" s="4" t="n">
        <v>221.43</v>
      </c>
      <c r="E12995" s="5" t="n">
        <v>248.4</v>
      </c>
      <c r="F12995" s="3" t="inlineStr">
        <is>
          <t>오송읍</t>
        </is>
      </c>
      <c r="G12995" s="3" t="inlineStr">
        <is>
          <t>연제리</t>
        </is>
      </c>
      <c r="H12995" s="3" t="inlineStr">
        <is>
          <t>단독다가구</t>
        </is>
      </c>
      <c r="I12995" s="3" t="inlineStr">
        <is>
          <t>단독</t>
        </is>
      </c>
      <c r="J12995" s="3" t="inlineStr">
        <is>
          <t>오송읍</t>
        </is>
      </c>
    </row>
    <row r="12996">
      <c r="A12996" s="3" t="n">
        <v>2022</v>
      </c>
      <c r="B12996" s="4" t="n">
        <v>74000</v>
      </c>
      <c r="C12996" s="4" t="n">
        <v>295.2</v>
      </c>
      <c r="D12996" s="4" t="n">
        <v>89.29799999999999</v>
      </c>
      <c r="E12996" s="5" t="n">
        <v>828.7</v>
      </c>
      <c r="F12996" s="3" t="inlineStr">
        <is>
          <t>오송읍</t>
        </is>
      </c>
      <c r="G12996" s="3" t="inlineStr">
        <is>
          <t>만수리</t>
        </is>
      </c>
      <c r="H12996" s="3" t="inlineStr">
        <is>
          <t>단독다가구</t>
        </is>
      </c>
      <c r="I12996" s="3" t="inlineStr">
        <is>
          <t>다가구</t>
        </is>
      </c>
      <c r="J12996" s="3" t="inlineStr">
        <is>
          <t>오송읍</t>
        </is>
      </c>
    </row>
    <row r="12997">
      <c r="A12997" s="3" t="n">
        <v>2022</v>
      </c>
      <c r="B12997" s="4" t="n">
        <v>29500</v>
      </c>
      <c r="C12997" s="4" t="n">
        <v>352</v>
      </c>
      <c r="D12997" s="4" t="n">
        <v>106.48</v>
      </c>
      <c r="E12997" s="5" t="n">
        <v>277</v>
      </c>
      <c r="F12997" s="3" t="inlineStr">
        <is>
          <t>강내면</t>
        </is>
      </c>
      <c r="G12997" s="3" t="inlineStr">
        <is>
          <t>석화리</t>
        </is>
      </c>
      <c r="H12997" s="3" t="inlineStr">
        <is>
          <t>단독다가구</t>
        </is>
      </c>
      <c r="I12997" s="3" t="inlineStr">
        <is>
          <t>단독</t>
        </is>
      </c>
      <c r="J12997" s="3" t="inlineStr">
        <is>
          <t>강내면</t>
        </is>
      </c>
    </row>
    <row r="12998">
      <c r="A12998" s="3" t="n">
        <v>2022</v>
      </c>
      <c r="B12998" s="4" t="n">
        <v>105000</v>
      </c>
      <c r="C12998" s="4" t="n">
        <v>348</v>
      </c>
      <c r="D12998" s="4" t="n">
        <v>105.27</v>
      </c>
      <c r="E12998" s="5" t="n">
        <v>997.4</v>
      </c>
      <c r="F12998" s="3" t="inlineStr">
        <is>
          <t>강내면</t>
        </is>
      </c>
      <c r="G12998" s="3" t="inlineStr">
        <is>
          <t>탑연리</t>
        </is>
      </c>
      <c r="H12998" s="3" t="inlineStr">
        <is>
          <t>단독다가구</t>
        </is>
      </c>
      <c r="I12998" s="3" t="inlineStr">
        <is>
          <t>단독</t>
        </is>
      </c>
      <c r="J12998" s="3" t="inlineStr">
        <is>
          <t>강내면</t>
        </is>
      </c>
    </row>
    <row r="12999">
      <c r="A12999" s="3" t="n">
        <v>2022</v>
      </c>
      <c r="B12999" s="4" t="n">
        <v>35000</v>
      </c>
      <c r="C12999" s="4" t="n">
        <v>433</v>
      </c>
      <c r="D12999" s="4" t="n">
        <v>130.9825</v>
      </c>
      <c r="E12999" s="5" t="n">
        <v>267.2</v>
      </c>
      <c r="F12999" s="3" t="inlineStr">
        <is>
          <t>강내면</t>
        </is>
      </c>
      <c r="G12999" s="3" t="inlineStr">
        <is>
          <t>월탄리</t>
        </is>
      </c>
      <c r="H12999" s="3" t="inlineStr">
        <is>
          <t>단독다가구</t>
        </is>
      </c>
      <c r="I12999" s="3" t="inlineStr">
        <is>
          <t>다가구</t>
        </is>
      </c>
      <c r="J12999" s="3" t="inlineStr">
        <is>
          <t>강내면</t>
        </is>
      </c>
    </row>
    <row r="13000">
      <c r="A13000" s="3" t="n">
        <v>2022</v>
      </c>
      <c r="B13000" s="4" t="n">
        <v>20000</v>
      </c>
      <c r="C13000" s="4" t="n">
        <v>280</v>
      </c>
      <c r="D13000" s="4" t="n">
        <v>84.7</v>
      </c>
      <c r="E13000" s="5" t="n">
        <v>236.1</v>
      </c>
      <c r="F13000" s="3" t="inlineStr">
        <is>
          <t>강내면</t>
        </is>
      </c>
      <c r="G13000" s="3" t="inlineStr">
        <is>
          <t>월탄리</t>
        </is>
      </c>
      <c r="H13000" s="3" t="inlineStr">
        <is>
          <t>단독다가구</t>
        </is>
      </c>
      <c r="I13000" s="3" t="inlineStr">
        <is>
          <t>다가구</t>
        </is>
      </c>
      <c r="J13000" s="3" t="inlineStr">
        <is>
          <t>강내면</t>
        </is>
      </c>
    </row>
    <row r="13001">
      <c r="A13001" s="3" t="n">
        <v>2022</v>
      </c>
      <c r="B13001" s="4" t="n">
        <v>60000</v>
      </c>
      <c r="C13001" s="4" t="n">
        <v>203</v>
      </c>
      <c r="D13001" s="4" t="n">
        <v>61.4075</v>
      </c>
      <c r="E13001" s="5" t="n">
        <v>977.1</v>
      </c>
      <c r="F13001" s="3" t="inlineStr">
        <is>
          <t>강내면</t>
        </is>
      </c>
      <c r="G13001" s="3" t="inlineStr">
        <is>
          <t>월곡리</t>
        </is>
      </c>
      <c r="H13001" s="3" t="inlineStr">
        <is>
          <t>단독다가구</t>
        </is>
      </c>
      <c r="I13001" s="3" t="inlineStr">
        <is>
          <t>단독</t>
        </is>
      </c>
      <c r="J13001" s="3" t="inlineStr">
        <is>
          <t>강내면</t>
        </is>
      </c>
    </row>
    <row r="13002">
      <c r="A13002" s="3" t="n">
        <v>2023</v>
      </c>
      <c r="B13002" s="4" t="n">
        <v>22000</v>
      </c>
      <c r="C13002" s="4" t="n">
        <v>453</v>
      </c>
      <c r="D13002" s="4" t="n">
        <v>137.0325</v>
      </c>
      <c r="E13002" s="5" t="n">
        <v>160.5</v>
      </c>
      <c r="F13002" s="3" t="inlineStr">
        <is>
          <t>강내면</t>
        </is>
      </c>
      <c r="G13002" s="3" t="inlineStr">
        <is>
          <t>사인리</t>
        </is>
      </c>
      <c r="H13002" s="3" t="inlineStr">
        <is>
          <t>단독다가구</t>
        </is>
      </c>
      <c r="I13002" s="3" t="inlineStr">
        <is>
          <t>단독</t>
        </is>
      </c>
      <c r="J13002" s="3" t="inlineStr">
        <is>
          <t>강내면</t>
        </is>
      </c>
    </row>
    <row r="13003">
      <c r="A13003" s="3" t="n">
        <v>2023</v>
      </c>
      <c r="B13003" s="4" t="n">
        <v>50000</v>
      </c>
      <c r="C13003" s="4" t="n">
        <v>274</v>
      </c>
      <c r="D13003" s="4" t="n">
        <v>82.88499999999999</v>
      </c>
      <c r="E13003" s="5" t="n">
        <v>603.2</v>
      </c>
      <c r="F13003" s="3" t="inlineStr">
        <is>
          <t>오송읍</t>
        </is>
      </c>
      <c r="G13003" s="3" t="inlineStr">
        <is>
          <t>만수리</t>
        </is>
      </c>
      <c r="H13003" s="3" t="inlineStr">
        <is>
          <t>단독다가구</t>
        </is>
      </c>
      <c r="I13003" s="3" t="inlineStr">
        <is>
          <t>단독</t>
        </is>
      </c>
      <c r="J13003" s="3" t="inlineStr">
        <is>
          <t>오송읍</t>
        </is>
      </c>
    </row>
    <row r="13004">
      <c r="A13004" s="3" t="n">
        <v>2023</v>
      </c>
      <c r="B13004" s="4" t="n">
        <v>72500</v>
      </c>
      <c r="C13004" s="4" t="n">
        <v>322</v>
      </c>
      <c r="D13004" s="4" t="n">
        <v>97.405</v>
      </c>
      <c r="E13004" s="5" t="n">
        <v>744.3</v>
      </c>
      <c r="F13004" s="3" t="inlineStr">
        <is>
          <t>강내면</t>
        </is>
      </c>
      <c r="G13004" s="3" t="inlineStr">
        <is>
          <t>월탄리</t>
        </is>
      </c>
      <c r="H13004" s="3" t="inlineStr">
        <is>
          <t>단독다가구</t>
        </is>
      </c>
      <c r="I13004" s="3" t="inlineStr">
        <is>
          <t>단독</t>
        </is>
      </c>
      <c r="J13004" s="3" t="inlineStr">
        <is>
          <t>강내면</t>
        </is>
      </c>
    </row>
    <row r="13005">
      <c r="A13005" s="3" t="n">
        <v>2023</v>
      </c>
      <c r="B13005" s="4" t="n">
        <v>59000</v>
      </c>
      <c r="C13005" s="4" t="n">
        <v>495</v>
      </c>
      <c r="D13005" s="4" t="n">
        <v>149.7375</v>
      </c>
      <c r="E13005" s="5" t="n">
        <v>394</v>
      </c>
      <c r="F13005" s="3" t="inlineStr">
        <is>
          <t>강내면</t>
        </is>
      </c>
      <c r="G13005" s="3" t="inlineStr">
        <is>
          <t>저산리</t>
        </is>
      </c>
      <c r="H13005" s="3" t="inlineStr">
        <is>
          <t>단독다가구</t>
        </is>
      </c>
      <c r="I13005" s="3" t="inlineStr">
        <is>
          <t>단독</t>
        </is>
      </c>
      <c r="J13005" s="3" t="inlineStr">
        <is>
          <t>강내면</t>
        </is>
      </c>
    </row>
    <row r="13006">
      <c r="A13006" s="3" t="n">
        <v>2023</v>
      </c>
      <c r="B13006" s="4" t="n">
        <v>10900</v>
      </c>
      <c r="C13006" s="4" t="n">
        <v>147</v>
      </c>
      <c r="D13006" s="4" t="n">
        <v>44.4675</v>
      </c>
      <c r="E13006" s="5" t="n">
        <v>245.1</v>
      </c>
      <c r="F13006" s="3" t="inlineStr">
        <is>
          <t>오송읍</t>
        </is>
      </c>
      <c r="G13006" s="3" t="inlineStr">
        <is>
          <t>연제리</t>
        </is>
      </c>
      <c r="H13006" s="3" t="inlineStr">
        <is>
          <t>단독다가구</t>
        </is>
      </c>
      <c r="I13006" s="3" t="inlineStr">
        <is>
          <t>단독</t>
        </is>
      </c>
      <c r="J13006" s="3" t="inlineStr">
        <is>
          <t>오송읍</t>
        </is>
      </c>
    </row>
    <row r="13007">
      <c r="A13007" s="3" t="n">
        <v>2023</v>
      </c>
      <c r="B13007" s="4" t="n">
        <v>34977</v>
      </c>
      <c r="C13007" s="4" t="n">
        <v>533</v>
      </c>
      <c r="D13007" s="4" t="n">
        <v>161.2325</v>
      </c>
      <c r="E13007" s="5" t="n">
        <v>216.9</v>
      </c>
      <c r="F13007" s="3" t="inlineStr">
        <is>
          <t>강내면</t>
        </is>
      </c>
      <c r="G13007" s="3" t="inlineStr">
        <is>
          <t>궁현리</t>
        </is>
      </c>
      <c r="H13007" s="3" t="inlineStr">
        <is>
          <t>단독다가구</t>
        </is>
      </c>
      <c r="I13007" s="3" t="inlineStr">
        <is>
          <t>단독</t>
        </is>
      </c>
      <c r="J13007" s="3" t="inlineStr">
        <is>
          <t>강내면</t>
        </is>
      </c>
    </row>
    <row r="13008">
      <c r="A13008" s="3" t="n">
        <v>2023</v>
      </c>
      <c r="B13008" s="4" t="n">
        <v>70500</v>
      </c>
      <c r="C13008" s="4" t="n">
        <v>280</v>
      </c>
      <c r="D13008" s="4" t="n">
        <v>84.7</v>
      </c>
      <c r="E13008" s="5" t="n">
        <v>832.3</v>
      </c>
      <c r="F13008" s="3" t="inlineStr">
        <is>
          <t>오송읍</t>
        </is>
      </c>
      <c r="G13008" s="3" t="inlineStr">
        <is>
          <t>만수리</t>
        </is>
      </c>
      <c r="H13008" s="3" t="inlineStr">
        <is>
          <t>단독다가구</t>
        </is>
      </c>
      <c r="I13008" s="3" t="inlineStr">
        <is>
          <t>다가구</t>
        </is>
      </c>
      <c r="J13008" s="3" t="inlineStr">
        <is>
          <t>오송읍</t>
        </is>
      </c>
    </row>
    <row r="13009">
      <c r="A13009" s="3" t="n">
        <v>2023</v>
      </c>
      <c r="B13009" s="4" t="n">
        <v>24100</v>
      </c>
      <c r="C13009" s="4" t="n">
        <v>601</v>
      </c>
      <c r="D13009" s="4" t="n">
        <v>181.8025</v>
      </c>
      <c r="E13009" s="5" t="n">
        <v>132.6</v>
      </c>
      <c r="F13009" s="3" t="inlineStr">
        <is>
          <t>오송읍</t>
        </is>
      </c>
      <c r="G13009" s="3" t="inlineStr">
        <is>
          <t>공북리</t>
        </is>
      </c>
      <c r="H13009" s="3" t="inlineStr">
        <is>
          <t>단독다가구</t>
        </is>
      </c>
      <c r="I13009" s="3" t="inlineStr">
        <is>
          <t>단독</t>
        </is>
      </c>
      <c r="J13009" s="3" t="inlineStr">
        <is>
          <t>오송읍</t>
        </is>
      </c>
    </row>
    <row r="13010">
      <c r="A13010" s="3" t="n">
        <v>2026</v>
      </c>
      <c r="B13010" s="4" t="n">
        <v>21000</v>
      </c>
      <c r="C13010" s="4" t="n">
        <v>429</v>
      </c>
      <c r="D13010" s="4" t="n">
        <v>129.7725</v>
      </c>
      <c r="E13010" s="5" t="n">
        <v>161.8</v>
      </c>
      <c r="F13010" s="3" t="inlineStr">
        <is>
          <t>강내면</t>
        </is>
      </c>
      <c r="G13010" s="3" t="inlineStr">
        <is>
          <t>태성리</t>
        </is>
      </c>
      <c r="H13010" s="3" t="inlineStr">
        <is>
          <t>단독다가구</t>
        </is>
      </c>
      <c r="I13010" s="3" t="inlineStr">
        <is>
          <t>단독</t>
        </is>
      </c>
      <c r="J13010" s="3" t="inlineStr">
        <is>
          <t>강내면</t>
        </is>
      </c>
    </row>
    <row r="13011">
      <c r="A13011" s="3" t="n">
        <v>2026</v>
      </c>
      <c r="B13011" s="4" t="n">
        <v>16000</v>
      </c>
      <c r="C13011" s="4" t="n">
        <v>329</v>
      </c>
      <c r="D13011" s="4" t="n">
        <v>99.52249999999999</v>
      </c>
      <c r="E13011" s="5" t="n">
        <v>160.8</v>
      </c>
      <c r="F13011" s="3" t="inlineStr">
        <is>
          <t>강내면</t>
        </is>
      </c>
      <c r="G13011" s="3" t="inlineStr">
        <is>
          <t>사인리</t>
        </is>
      </c>
      <c r="H13011" s="3" t="inlineStr">
        <is>
          <t>단독다가구</t>
        </is>
      </c>
      <c r="I13011" s="3" t="inlineStr">
        <is>
          <t>단독</t>
        </is>
      </c>
      <c r="J13011" s="3" t="inlineStr">
        <is>
          <t>강내면</t>
        </is>
      </c>
    </row>
    <row r="13012">
      <c r="A13012" s="3" t="n">
        <v>2026</v>
      </c>
      <c r="B13012" s="4" t="n">
        <v>71500</v>
      </c>
      <c r="C13012" s="4" t="n">
        <v>244.7</v>
      </c>
      <c r="D13012" s="4" t="n">
        <v>74.02175</v>
      </c>
      <c r="E13012" s="5" t="n">
        <v>965.9</v>
      </c>
      <c r="F13012" s="3" t="inlineStr">
        <is>
          <t>오송읍</t>
        </is>
      </c>
      <c r="G13012" s="3" t="inlineStr">
        <is>
          <t>만수리</t>
        </is>
      </c>
      <c r="H13012" s="3" t="inlineStr">
        <is>
          <t>단독다가구</t>
        </is>
      </c>
      <c r="I13012" s="3" t="inlineStr">
        <is>
          <t>다가구</t>
        </is>
      </c>
      <c r="J13012" s="3" t="inlineStr">
        <is>
          <t>오송읍</t>
        </is>
      </c>
    </row>
    <row r="13013">
      <c r="A13013" s="3" t="n">
        <v>2026</v>
      </c>
      <c r="B13013" s="4" t="n">
        <v>26519</v>
      </c>
      <c r="C13013" s="4" t="n">
        <v>654</v>
      </c>
      <c r="D13013" s="4" t="n">
        <v>197.835</v>
      </c>
      <c r="E13013" s="5" t="n">
        <v>134</v>
      </c>
      <c r="F13013" s="3" t="inlineStr">
        <is>
          <t>오송읍</t>
        </is>
      </c>
      <c r="G13013" s="3" t="inlineStr">
        <is>
          <t>상봉리</t>
        </is>
      </c>
      <c r="H13013" s="3" t="inlineStr">
        <is>
          <t>단독다가구</t>
        </is>
      </c>
      <c r="I13013" s="3" t="inlineStr">
        <is>
          <t>단독</t>
        </is>
      </c>
      <c r="J13013" s="3" t="inlineStr">
        <is>
          <t>오송읍</t>
        </is>
      </c>
    </row>
    <row r="13014">
      <c r="A13014" s="3" t="n">
        <v>2026</v>
      </c>
      <c r="B13014" s="4" t="n">
        <v>27000</v>
      </c>
      <c r="C13014" s="4" t="n">
        <v>633</v>
      </c>
      <c r="D13014" s="4" t="n">
        <v>191.4825</v>
      </c>
      <c r="E13014" s="5" t="n">
        <v>141</v>
      </c>
      <c r="F13014" s="3" t="inlineStr">
        <is>
          <t>오송읍</t>
        </is>
      </c>
      <c r="G13014" s="3" t="inlineStr">
        <is>
          <t>오송리</t>
        </is>
      </c>
      <c r="H13014" s="3" t="inlineStr">
        <is>
          <t>단독다가구</t>
        </is>
      </c>
      <c r="I13014" s="3" t="inlineStr">
        <is>
          <t>단독</t>
        </is>
      </c>
      <c r="J13014" s="3" t="inlineStr">
        <is>
          <t>오송읍</t>
        </is>
      </c>
    </row>
    <row r="13015">
      <c r="A13015" s="3" t="n">
        <v>2026</v>
      </c>
      <c r="B13015" s="4" t="n">
        <v>30000</v>
      </c>
      <c r="C13015" s="4" t="n">
        <v>719</v>
      </c>
      <c r="D13015" s="4" t="n">
        <v>217.4975</v>
      </c>
      <c r="E13015" s="5" t="n">
        <v>137.9</v>
      </c>
      <c r="F13015" s="3" t="inlineStr">
        <is>
          <t>오송읍</t>
        </is>
      </c>
      <c r="G13015" s="3" t="inlineStr">
        <is>
          <t>쌍청리</t>
        </is>
      </c>
      <c r="H13015" s="3" t="inlineStr">
        <is>
          <t>단독다가구</t>
        </is>
      </c>
      <c r="I13015" s="3" t="inlineStr">
        <is>
          <t>단독</t>
        </is>
      </c>
      <c r="J13015" s="3" t="inlineStr">
        <is>
          <t>오송읍</t>
        </is>
      </c>
    </row>
    <row r="13016">
      <c r="A13016" s="3" t="n">
        <v>2026</v>
      </c>
      <c r="B13016" s="4" t="n">
        <v>37000</v>
      </c>
      <c r="C13016" s="4" t="n">
        <v>473</v>
      </c>
      <c r="D13016" s="4" t="n">
        <v>143.0825</v>
      </c>
      <c r="E13016" s="5" t="n">
        <v>258.6</v>
      </c>
      <c r="F13016" s="3" t="inlineStr">
        <is>
          <t>강내면</t>
        </is>
      </c>
      <c r="G13016" s="3" t="inlineStr">
        <is>
          <t>연정리</t>
        </is>
      </c>
      <c r="H13016" s="3" t="inlineStr">
        <is>
          <t>단독다가구</t>
        </is>
      </c>
      <c r="I13016" s="3" t="inlineStr">
        <is>
          <t>단독</t>
        </is>
      </c>
      <c r="J13016" s="3" t="inlineStr">
        <is>
          <t>강내면</t>
        </is>
      </c>
    </row>
    <row r="13017">
      <c r="A13017" s="3" t="n">
        <v>2026</v>
      </c>
      <c r="B13017" s="4" t="n">
        <v>132000</v>
      </c>
      <c r="C13017" s="4" t="n">
        <v>269.8</v>
      </c>
      <c r="D13017" s="4" t="n">
        <v>81.61450000000001</v>
      </c>
      <c r="E13017" s="5" t="n">
        <v>1617.4</v>
      </c>
      <c r="F13017" s="3" t="inlineStr">
        <is>
          <t>오송읍</t>
        </is>
      </c>
      <c r="G13017" s="3" t="inlineStr">
        <is>
          <t>봉산리</t>
        </is>
      </c>
      <c r="H13017" s="3" t="inlineStr">
        <is>
          <t>단독다가구</t>
        </is>
      </c>
      <c r="I13017" s="3" t="inlineStr">
        <is>
          <t>다가구</t>
        </is>
      </c>
      <c r="J13017" s="3" t="inlineStr">
        <is>
          <t>오송읍</t>
        </is>
      </c>
    </row>
    <row r="13018">
      <c r="A13018" s="3" t="n">
        <v>2024</v>
      </c>
      <c r="B13018" s="4" t="n">
        <v>68405</v>
      </c>
      <c r="C13018" s="4" t="n">
        <v>633</v>
      </c>
      <c r="D13018" s="4" t="n">
        <v>191.4825</v>
      </c>
      <c r="E13018" s="5" t="n">
        <v>357.2</v>
      </c>
      <c r="F13018" s="3" t="inlineStr">
        <is>
          <t>남이면</t>
        </is>
      </c>
      <c r="G13018" s="3" t="inlineStr">
        <is>
          <t>석판리</t>
        </is>
      </c>
      <c r="H13018" s="3" t="inlineStr">
        <is>
          <t>단독다가구</t>
        </is>
      </c>
      <c r="I13018" s="3" t="inlineStr">
        <is>
          <t>단독</t>
        </is>
      </c>
      <c r="J13018" s="3" t="inlineStr">
        <is>
          <t>남이면</t>
        </is>
      </c>
    </row>
    <row r="13019">
      <c r="A13019" s="3" t="n">
        <v>2024</v>
      </c>
      <c r="B13019" s="4" t="n">
        <v>29500</v>
      </c>
      <c r="C13019" s="4" t="n">
        <v>379</v>
      </c>
      <c r="D13019" s="4" t="n">
        <v>114.6475</v>
      </c>
      <c r="E13019" s="5" t="n">
        <v>257.3</v>
      </c>
      <c r="F13019" s="3" t="inlineStr">
        <is>
          <t>남이면</t>
        </is>
      </c>
      <c r="G13019" s="3" t="inlineStr">
        <is>
          <t>상발리</t>
        </is>
      </c>
      <c r="H13019" s="3" t="inlineStr">
        <is>
          <t>단독다가구</t>
        </is>
      </c>
      <c r="I13019" s="3" t="inlineStr">
        <is>
          <t>단독</t>
        </is>
      </c>
      <c r="J13019" s="3" t="inlineStr">
        <is>
          <t>남이면</t>
        </is>
      </c>
    </row>
    <row r="13020">
      <c r="A13020" s="3" t="n">
        <v>2024</v>
      </c>
      <c r="B13020" s="4" t="n">
        <v>28700</v>
      </c>
      <c r="C13020" s="4" t="n">
        <v>379</v>
      </c>
      <c r="D13020" s="4" t="n">
        <v>114.6475</v>
      </c>
      <c r="E13020" s="5" t="n">
        <v>250.3</v>
      </c>
      <c r="F13020" s="3" t="inlineStr">
        <is>
          <t>남이면</t>
        </is>
      </c>
      <c r="G13020" s="3" t="inlineStr">
        <is>
          <t>상발리</t>
        </is>
      </c>
      <c r="H13020" s="3" t="inlineStr">
        <is>
          <t>단독다가구</t>
        </is>
      </c>
      <c r="I13020" s="3" t="inlineStr">
        <is>
          <t>단독</t>
        </is>
      </c>
      <c r="J13020" s="3" t="inlineStr">
        <is>
          <t>남이면</t>
        </is>
      </c>
    </row>
    <row r="13021">
      <c r="A13021" s="3" t="n">
        <v>2024</v>
      </c>
      <c r="B13021" s="4" t="n">
        <v>11000</v>
      </c>
      <c r="C13021" s="4" t="n">
        <v>304</v>
      </c>
      <c r="D13021" s="4" t="n">
        <v>91.95999999999999</v>
      </c>
      <c r="E13021" s="5" t="n">
        <v>119.6</v>
      </c>
      <c r="F13021" s="3" t="inlineStr">
        <is>
          <t>남이면</t>
        </is>
      </c>
      <c r="G13021" s="3" t="inlineStr">
        <is>
          <t>문동리</t>
        </is>
      </c>
      <c r="H13021" s="3" t="inlineStr">
        <is>
          <t>단독다가구</t>
        </is>
      </c>
      <c r="I13021" s="3" t="inlineStr">
        <is>
          <t>단독</t>
        </is>
      </c>
      <c r="J13021" s="3" t="inlineStr">
        <is>
          <t>남이면</t>
        </is>
      </c>
    </row>
    <row r="13022">
      <c r="A13022" s="3" t="n">
        <v>2024</v>
      </c>
      <c r="B13022" s="4" t="n">
        <v>22000</v>
      </c>
      <c r="C13022" s="4" t="n">
        <v>460</v>
      </c>
      <c r="D13022" s="4" t="n">
        <v>139.15</v>
      </c>
      <c r="E13022" s="5" t="n">
        <v>158.1</v>
      </c>
      <c r="F13022" s="3" t="inlineStr">
        <is>
          <t>현도면</t>
        </is>
      </c>
      <c r="G13022" s="3" t="inlineStr">
        <is>
          <t>매봉리</t>
        </is>
      </c>
      <c r="H13022" s="3" t="inlineStr">
        <is>
          <t>단독다가구</t>
        </is>
      </c>
      <c r="I13022" s="3" t="inlineStr">
        <is>
          <t>단독</t>
        </is>
      </c>
      <c r="J13022" s="3" t="inlineStr">
        <is>
          <t>현도면</t>
        </is>
      </c>
    </row>
    <row r="13023">
      <c r="A13023" s="3" t="n">
        <v>2022</v>
      </c>
      <c r="B13023" s="4" t="n">
        <v>46300</v>
      </c>
      <c r="C13023" s="4" t="n">
        <v>526</v>
      </c>
      <c r="D13023" s="4" t="n">
        <v>159.115</v>
      </c>
      <c r="E13023" s="5" t="n">
        <v>291</v>
      </c>
      <c r="F13023" s="3" t="inlineStr">
        <is>
          <t>남이면</t>
        </is>
      </c>
      <c r="G13023" s="3" t="inlineStr">
        <is>
          <t>양촌리</t>
        </is>
      </c>
      <c r="H13023" s="3" t="inlineStr">
        <is>
          <t>단독다가구</t>
        </is>
      </c>
      <c r="I13023" s="3" t="inlineStr">
        <is>
          <t>단독</t>
        </is>
      </c>
      <c r="J13023" s="3" t="inlineStr">
        <is>
          <t>남이면</t>
        </is>
      </c>
    </row>
    <row r="13024">
      <c r="A13024" s="3" t="n">
        <v>2022</v>
      </c>
      <c r="B13024" s="4" t="n">
        <v>15000</v>
      </c>
      <c r="C13024" s="4" t="n">
        <v>347</v>
      </c>
      <c r="D13024" s="4" t="n">
        <v>104.9675</v>
      </c>
      <c r="E13024" s="5" t="n">
        <v>142.9</v>
      </c>
      <c r="F13024" s="3" t="inlineStr">
        <is>
          <t>남이면</t>
        </is>
      </c>
      <c r="G13024" s="3" t="inlineStr">
        <is>
          <t>척산리</t>
        </is>
      </c>
      <c r="H13024" s="3" t="inlineStr">
        <is>
          <t>단독다가구</t>
        </is>
      </c>
      <c r="I13024" s="3" t="inlineStr">
        <is>
          <t>단독</t>
        </is>
      </c>
      <c r="J13024" s="3" t="inlineStr">
        <is>
          <t>남이면</t>
        </is>
      </c>
    </row>
    <row r="13025">
      <c r="A13025" s="3" t="n">
        <v>2022</v>
      </c>
      <c r="B13025" s="4" t="n">
        <v>8500</v>
      </c>
      <c r="C13025" s="4" t="n">
        <v>250</v>
      </c>
      <c r="D13025" s="4" t="n">
        <v>75.625</v>
      </c>
      <c r="E13025" s="5" t="n">
        <v>112.4</v>
      </c>
      <c r="F13025" s="3" t="inlineStr">
        <is>
          <t>남이면</t>
        </is>
      </c>
      <c r="G13025" s="3" t="inlineStr">
        <is>
          <t>팔봉리</t>
        </is>
      </c>
      <c r="H13025" s="3" t="inlineStr">
        <is>
          <t>단독다가구</t>
        </is>
      </c>
      <c r="I13025" s="3" t="inlineStr">
        <is>
          <t>단독</t>
        </is>
      </c>
      <c r="J13025" s="3" t="inlineStr">
        <is>
          <t>남이면</t>
        </is>
      </c>
    </row>
    <row r="13026">
      <c r="A13026" s="3" t="n">
        <v>2022</v>
      </c>
      <c r="B13026" s="4" t="n">
        <v>34400</v>
      </c>
      <c r="C13026" s="4" t="n">
        <v>345</v>
      </c>
      <c r="D13026" s="4" t="n">
        <v>104.3625</v>
      </c>
      <c r="E13026" s="5" t="n">
        <v>329.6</v>
      </c>
      <c r="F13026" s="3" t="inlineStr">
        <is>
          <t>남이면</t>
        </is>
      </c>
      <c r="G13026" s="3" t="inlineStr">
        <is>
          <t>부용외천리</t>
        </is>
      </c>
      <c r="H13026" s="3" t="inlineStr">
        <is>
          <t>단독다가구</t>
        </is>
      </c>
      <c r="I13026" s="3" t="inlineStr">
        <is>
          <t>단독</t>
        </is>
      </c>
      <c r="J13026" s="3" t="inlineStr">
        <is>
          <t>남이면</t>
        </is>
      </c>
    </row>
    <row r="13027">
      <c r="A13027" s="3" t="n">
        <v>2022</v>
      </c>
      <c r="B13027" s="4" t="n">
        <v>11000</v>
      </c>
      <c r="C13027" s="4" t="n">
        <v>615</v>
      </c>
      <c r="D13027" s="4" t="n">
        <v>186.0375</v>
      </c>
      <c r="E13027" s="5" t="n">
        <v>59.1</v>
      </c>
      <c r="F13027" s="3" t="inlineStr">
        <is>
          <t>남이면</t>
        </is>
      </c>
      <c r="G13027" s="3" t="inlineStr">
        <is>
          <t>산막리</t>
        </is>
      </c>
      <c r="H13027" s="3" t="inlineStr">
        <is>
          <t>단독다가구</t>
        </is>
      </c>
      <c r="I13027" s="3" t="inlineStr">
        <is>
          <t>단독</t>
        </is>
      </c>
      <c r="J13027" s="3" t="inlineStr">
        <is>
          <t>남이면</t>
        </is>
      </c>
    </row>
    <row r="13028">
      <c r="A13028" s="3" t="n">
        <v>2022</v>
      </c>
      <c r="B13028" s="4" t="n">
        <v>15000</v>
      </c>
      <c r="C13028" s="4" t="n">
        <v>253</v>
      </c>
      <c r="D13028" s="4" t="n">
        <v>76.5325</v>
      </c>
      <c r="E13028" s="5" t="n">
        <v>196</v>
      </c>
      <c r="F13028" s="3" t="inlineStr">
        <is>
          <t>현도면</t>
        </is>
      </c>
      <c r="G13028" s="3" t="inlineStr">
        <is>
          <t>시목리</t>
        </is>
      </c>
      <c r="H13028" s="3" t="inlineStr">
        <is>
          <t>단독다가구</t>
        </is>
      </c>
      <c r="I13028" s="3" t="inlineStr">
        <is>
          <t>단독</t>
        </is>
      </c>
      <c r="J13028" s="3" t="inlineStr">
        <is>
          <t>현도면</t>
        </is>
      </c>
    </row>
    <row r="13029">
      <c r="A13029" s="3" t="n">
        <v>2022</v>
      </c>
      <c r="B13029" s="4" t="n">
        <v>41000</v>
      </c>
      <c r="C13029" s="4" t="n">
        <v>1068</v>
      </c>
      <c r="D13029" s="4" t="n">
        <v>323.07</v>
      </c>
      <c r="E13029" s="5" t="n">
        <v>126.9</v>
      </c>
      <c r="F13029" s="3" t="inlineStr">
        <is>
          <t>남이면</t>
        </is>
      </c>
      <c r="G13029" s="3" t="inlineStr">
        <is>
          <t>척산리</t>
        </is>
      </c>
      <c r="H13029" s="3" t="inlineStr">
        <is>
          <t>단독다가구</t>
        </is>
      </c>
      <c r="I13029" s="3" t="inlineStr">
        <is>
          <t>단독</t>
        </is>
      </c>
      <c r="J13029" s="3" t="inlineStr">
        <is>
          <t>남이면</t>
        </is>
      </c>
    </row>
    <row r="13030">
      <c r="A13030" s="3" t="n">
        <v>2022</v>
      </c>
      <c r="B13030" s="4" t="n">
        <v>11400</v>
      </c>
      <c r="C13030" s="4" t="n">
        <v>291</v>
      </c>
      <c r="D13030" s="4" t="n">
        <v>88.0275</v>
      </c>
      <c r="E13030" s="5" t="n">
        <v>129.5</v>
      </c>
      <c r="F13030" s="3" t="inlineStr">
        <is>
          <t>강내면</t>
        </is>
      </c>
      <c r="G13030" s="3" t="inlineStr">
        <is>
          <t>사인리</t>
        </is>
      </c>
      <c r="H13030" s="3" t="inlineStr">
        <is>
          <t>단독다가구</t>
        </is>
      </c>
      <c r="I13030" s="3" t="inlineStr">
        <is>
          <t>단독</t>
        </is>
      </c>
      <c r="J13030" s="3" t="inlineStr">
        <is>
          <t>강내면</t>
        </is>
      </c>
    </row>
    <row r="13031">
      <c r="A13031" s="3" t="n">
        <v>2022</v>
      </c>
      <c r="B13031" s="4" t="n">
        <v>30000</v>
      </c>
      <c r="C13031" s="4" t="n">
        <v>250</v>
      </c>
      <c r="D13031" s="4" t="n">
        <v>75.625</v>
      </c>
      <c r="E13031" s="5" t="n">
        <v>396.7</v>
      </c>
      <c r="F13031" s="3" t="inlineStr">
        <is>
          <t>오송읍</t>
        </is>
      </c>
      <c r="G13031" s="3" t="inlineStr">
        <is>
          <t>연제리</t>
        </is>
      </c>
      <c r="H13031" s="3" t="inlineStr">
        <is>
          <t>단독다가구</t>
        </is>
      </c>
      <c r="I13031" s="3" t="inlineStr">
        <is>
          <t>단독</t>
        </is>
      </c>
      <c r="J13031" s="3" t="inlineStr">
        <is>
          <t>오송읍</t>
        </is>
      </c>
    </row>
    <row r="13032">
      <c r="A13032" s="3" t="n">
        <v>2022</v>
      </c>
      <c r="B13032" s="4" t="n">
        <v>77000</v>
      </c>
      <c r="C13032" s="4" t="n">
        <v>716</v>
      </c>
      <c r="D13032" s="4" t="n">
        <v>216.59</v>
      </c>
      <c r="E13032" s="5" t="n">
        <v>355.5</v>
      </c>
      <c r="F13032" s="3" t="inlineStr">
        <is>
          <t>오송읍</t>
        </is>
      </c>
      <c r="G13032" s="3" t="inlineStr">
        <is>
          <t>오송리</t>
        </is>
      </c>
      <c r="H13032" s="3" t="inlineStr">
        <is>
          <t>단독다가구</t>
        </is>
      </c>
      <c r="I13032" s="3" t="inlineStr">
        <is>
          <t>단독</t>
        </is>
      </c>
      <c r="J13032" s="3" t="inlineStr">
        <is>
          <t>오송읍</t>
        </is>
      </c>
    </row>
    <row r="13033">
      <c r="A13033" s="3" t="n">
        <v>2022</v>
      </c>
      <c r="B13033" s="4" t="n">
        <v>9000</v>
      </c>
      <c r="C13033" s="4" t="n">
        <v>133</v>
      </c>
      <c r="D13033" s="4" t="n">
        <v>40.2325</v>
      </c>
      <c r="E13033" s="5" t="n">
        <v>223.7</v>
      </c>
      <c r="F13033" s="3" t="inlineStr">
        <is>
          <t>오송읍</t>
        </is>
      </c>
      <c r="G13033" s="3" t="inlineStr">
        <is>
          <t>정중리</t>
        </is>
      </c>
      <c r="H13033" s="3" t="inlineStr">
        <is>
          <t>단독다가구</t>
        </is>
      </c>
      <c r="I13033" s="3" t="inlineStr">
        <is>
          <t>단독</t>
        </is>
      </c>
      <c r="J13033" s="3" t="inlineStr">
        <is>
          <t>오송읍</t>
        </is>
      </c>
    </row>
    <row r="13034">
      <c r="A13034" s="3" t="n">
        <v>2022</v>
      </c>
      <c r="B13034" s="4" t="n">
        <v>50500</v>
      </c>
      <c r="C13034" s="4" t="n">
        <v>611</v>
      </c>
      <c r="D13034" s="4" t="n">
        <v>184.8275</v>
      </c>
      <c r="E13034" s="5" t="n">
        <v>273.2</v>
      </c>
      <c r="F13034" s="3" t="inlineStr">
        <is>
          <t>오송읍</t>
        </is>
      </c>
      <c r="G13034" s="3" t="inlineStr">
        <is>
          <t>상정리</t>
        </is>
      </c>
      <c r="H13034" s="3" t="inlineStr">
        <is>
          <t>단독다가구</t>
        </is>
      </c>
      <c r="I13034" s="3" t="inlineStr">
        <is>
          <t>단독</t>
        </is>
      </c>
      <c r="J13034" s="3" t="inlineStr">
        <is>
          <t>오송읍</t>
        </is>
      </c>
    </row>
    <row r="13035">
      <c r="A13035" s="3" t="n">
        <v>2022</v>
      </c>
      <c r="B13035" s="4" t="n">
        <v>48410</v>
      </c>
      <c r="C13035" s="4" t="n">
        <v>611</v>
      </c>
      <c r="D13035" s="4" t="n">
        <v>184.8275</v>
      </c>
      <c r="E13035" s="5" t="n">
        <v>261.9</v>
      </c>
      <c r="F13035" s="3" t="inlineStr">
        <is>
          <t>오송읍</t>
        </is>
      </c>
      <c r="G13035" s="3" t="inlineStr">
        <is>
          <t>상정리</t>
        </is>
      </c>
      <c r="H13035" s="3" t="inlineStr">
        <is>
          <t>단독다가구</t>
        </is>
      </c>
      <c r="I13035" s="3" t="inlineStr">
        <is>
          <t>단독</t>
        </is>
      </c>
      <c r="J13035" s="3" t="inlineStr">
        <is>
          <t>오송읍</t>
        </is>
      </c>
    </row>
    <row r="13036">
      <c r="A13036" s="3" t="n">
        <v>2022</v>
      </c>
      <c r="B13036" s="4" t="n">
        <v>50500</v>
      </c>
      <c r="C13036" s="4" t="n">
        <v>611</v>
      </c>
      <c r="D13036" s="4" t="n">
        <v>184.8275</v>
      </c>
      <c r="E13036" s="5" t="n">
        <v>273.2</v>
      </c>
      <c r="F13036" s="3" t="inlineStr">
        <is>
          <t>오송읍</t>
        </is>
      </c>
      <c r="G13036" s="3" t="inlineStr">
        <is>
          <t>상정리</t>
        </is>
      </c>
      <c r="H13036" s="3" t="inlineStr">
        <is>
          <t>단독다가구</t>
        </is>
      </c>
      <c r="I13036" s="3" t="inlineStr">
        <is>
          <t>단독</t>
        </is>
      </c>
      <c r="J13036" s="3" t="inlineStr">
        <is>
          <t>오송읍</t>
        </is>
      </c>
    </row>
    <row r="13037">
      <c r="A13037" s="3" t="n">
        <v>2022</v>
      </c>
      <c r="B13037" s="4" t="n">
        <v>29500</v>
      </c>
      <c r="C13037" s="4" t="n">
        <v>295</v>
      </c>
      <c r="D13037" s="4" t="n">
        <v>89.2375</v>
      </c>
      <c r="E13037" s="5" t="n">
        <v>330.6</v>
      </c>
      <c r="F13037" s="3" t="inlineStr">
        <is>
          <t>강내면</t>
        </is>
      </c>
      <c r="G13037" s="3" t="inlineStr">
        <is>
          <t>궁현리</t>
        </is>
      </c>
      <c r="H13037" s="3" t="inlineStr">
        <is>
          <t>단독다가구</t>
        </is>
      </c>
      <c r="I13037" s="3" t="inlineStr">
        <is>
          <t>단독</t>
        </is>
      </c>
      <c r="J13037" s="3" t="inlineStr">
        <is>
          <t>강내면</t>
        </is>
      </c>
    </row>
    <row r="13038">
      <c r="A13038" s="3" t="n">
        <v>2022</v>
      </c>
      <c r="B13038" s="4" t="n">
        <v>57000</v>
      </c>
      <c r="C13038" s="4" t="n">
        <v>187</v>
      </c>
      <c r="D13038" s="4" t="n">
        <v>56.5675</v>
      </c>
      <c r="E13038" s="5" t="n">
        <v>1007.6</v>
      </c>
      <c r="F13038" s="3" t="inlineStr">
        <is>
          <t>오송읍</t>
        </is>
      </c>
      <c r="G13038" s="3" t="inlineStr">
        <is>
          <t>오송리</t>
        </is>
      </c>
      <c r="H13038" s="3" t="inlineStr">
        <is>
          <t>단독다가구</t>
        </is>
      </c>
      <c r="I13038" s="3" t="inlineStr">
        <is>
          <t>단독</t>
        </is>
      </c>
      <c r="J13038" s="3" t="inlineStr">
        <is>
          <t>오송읍</t>
        </is>
      </c>
    </row>
    <row r="13039">
      <c r="A13039" s="3" t="n">
        <v>2022</v>
      </c>
      <c r="B13039" s="4" t="n">
        <v>23000</v>
      </c>
      <c r="C13039" s="4" t="n">
        <v>460</v>
      </c>
      <c r="D13039" s="4" t="n">
        <v>139.15</v>
      </c>
      <c r="E13039" s="5" t="n">
        <v>165.3</v>
      </c>
      <c r="F13039" s="3" t="inlineStr">
        <is>
          <t>오송읍</t>
        </is>
      </c>
      <c r="G13039" s="3" t="inlineStr">
        <is>
          <t>오송리</t>
        </is>
      </c>
      <c r="H13039" s="3" t="inlineStr">
        <is>
          <t>단독다가구</t>
        </is>
      </c>
      <c r="I13039" s="3" t="inlineStr">
        <is>
          <t>단독</t>
        </is>
      </c>
      <c r="J13039" s="3" t="inlineStr">
        <is>
          <t>오송읍</t>
        </is>
      </c>
    </row>
    <row r="13040">
      <c r="A13040" s="3" t="n">
        <v>2022</v>
      </c>
      <c r="B13040" s="4" t="n">
        <v>23000</v>
      </c>
      <c r="C13040" s="4" t="n">
        <v>386.9</v>
      </c>
      <c r="D13040" s="4" t="n">
        <v>117.03725</v>
      </c>
      <c r="E13040" s="5" t="n">
        <v>196.5</v>
      </c>
      <c r="F13040" s="3" t="inlineStr">
        <is>
          <t>강내면</t>
        </is>
      </c>
      <c r="G13040" s="3" t="inlineStr">
        <is>
          <t>궁현리</t>
        </is>
      </c>
      <c r="H13040" s="3" t="inlineStr">
        <is>
          <t>단독다가구</t>
        </is>
      </c>
      <c r="I13040" s="3" t="inlineStr">
        <is>
          <t>단독</t>
        </is>
      </c>
      <c r="J13040" s="3" t="inlineStr">
        <is>
          <t>강내면</t>
        </is>
      </c>
    </row>
    <row r="13041">
      <c r="A13041" s="3" t="n">
        <v>2022</v>
      </c>
      <c r="B13041" s="4" t="n">
        <v>79000</v>
      </c>
      <c r="C13041" s="4" t="n">
        <v>352</v>
      </c>
      <c r="D13041" s="4" t="n">
        <v>106.48</v>
      </c>
      <c r="E13041" s="5" t="n">
        <v>741.9</v>
      </c>
      <c r="F13041" s="3" t="inlineStr">
        <is>
          <t>강내면</t>
        </is>
      </c>
      <c r="G13041" s="3" t="inlineStr">
        <is>
          <t>월곡리</t>
        </is>
      </c>
      <c r="H13041" s="3" t="inlineStr">
        <is>
          <t>단독다가구</t>
        </is>
      </c>
      <c r="I13041" s="3" t="inlineStr">
        <is>
          <t>다가구</t>
        </is>
      </c>
      <c r="J13041" s="3" t="inlineStr">
        <is>
          <t>강내면</t>
        </is>
      </c>
    </row>
    <row r="13042">
      <c r="A13042" s="3" t="n">
        <v>2023</v>
      </c>
      <c r="B13042" s="4" t="n">
        <v>54850</v>
      </c>
      <c r="C13042" s="4" t="n">
        <v>444</v>
      </c>
      <c r="D13042" s="4" t="n">
        <v>134.31</v>
      </c>
      <c r="E13042" s="5" t="n">
        <v>408.4</v>
      </c>
      <c r="F13042" s="3" t="inlineStr">
        <is>
          <t>오송읍</t>
        </is>
      </c>
      <c r="G13042" s="3" t="inlineStr">
        <is>
          <t>궁평리</t>
        </is>
      </c>
      <c r="H13042" s="3" t="inlineStr">
        <is>
          <t>단독다가구</t>
        </is>
      </c>
      <c r="I13042" s="3" t="inlineStr">
        <is>
          <t>단독</t>
        </is>
      </c>
      <c r="J13042" s="3" t="inlineStr">
        <is>
          <t>오송읍</t>
        </is>
      </c>
    </row>
    <row r="13043">
      <c r="A13043" s="3" t="n">
        <v>2023</v>
      </c>
      <c r="B13043" s="4" t="n">
        <v>39300</v>
      </c>
      <c r="C13043" s="4" t="n">
        <v>656</v>
      </c>
      <c r="D13043" s="4" t="n">
        <v>198.44</v>
      </c>
      <c r="E13043" s="5" t="n">
        <v>198</v>
      </c>
      <c r="F13043" s="3" t="inlineStr">
        <is>
          <t>강내면</t>
        </is>
      </c>
      <c r="G13043" s="3" t="inlineStr">
        <is>
          <t>궁현리</t>
        </is>
      </c>
      <c r="H13043" s="3" t="inlineStr">
        <is>
          <t>단독다가구</t>
        </is>
      </c>
      <c r="I13043" s="3" t="inlineStr">
        <is>
          <t>단독</t>
        </is>
      </c>
      <c r="J13043" s="3" t="inlineStr">
        <is>
          <t>강내면</t>
        </is>
      </c>
    </row>
    <row r="13044">
      <c r="A13044" s="3" t="n">
        <v>2023</v>
      </c>
      <c r="B13044" s="4" t="n">
        <v>21000</v>
      </c>
      <c r="C13044" s="4" t="n">
        <v>465</v>
      </c>
      <c r="D13044" s="4" t="n">
        <v>140.6625</v>
      </c>
      <c r="E13044" s="5" t="n">
        <v>149.3</v>
      </c>
      <c r="F13044" s="3" t="inlineStr">
        <is>
          <t>오송읍</t>
        </is>
      </c>
      <c r="G13044" s="3" t="inlineStr">
        <is>
          <t>쌍청리</t>
        </is>
      </c>
      <c r="H13044" s="3" t="inlineStr">
        <is>
          <t>단독다가구</t>
        </is>
      </c>
      <c r="I13044" s="3" t="inlineStr">
        <is>
          <t>단독</t>
        </is>
      </c>
      <c r="J13044" s="3" t="inlineStr">
        <is>
          <t>오송읍</t>
        </is>
      </c>
    </row>
    <row r="13045">
      <c r="A13045" s="3" t="n">
        <v>2023</v>
      </c>
      <c r="B13045" s="4" t="n">
        <v>11000</v>
      </c>
      <c r="C13045" s="4" t="n">
        <v>270</v>
      </c>
      <c r="D13045" s="4" t="n">
        <v>81.675</v>
      </c>
      <c r="E13045" s="5" t="n">
        <v>134.7</v>
      </c>
      <c r="F13045" s="3" t="inlineStr">
        <is>
          <t>오송읍</t>
        </is>
      </c>
      <c r="G13045" s="3" t="inlineStr">
        <is>
          <t>오송리</t>
        </is>
      </c>
      <c r="H13045" s="3" t="inlineStr">
        <is>
          <t>단독다가구</t>
        </is>
      </c>
      <c r="I13045" s="3" t="inlineStr">
        <is>
          <t>단독</t>
        </is>
      </c>
      <c r="J13045" s="3" t="inlineStr">
        <is>
          <t>오송읍</t>
        </is>
      </c>
    </row>
    <row r="13046">
      <c r="A13046" s="3" t="n">
        <v>2023</v>
      </c>
      <c r="B13046" s="4" t="n">
        <v>15600</v>
      </c>
      <c r="C13046" s="4" t="n">
        <v>344</v>
      </c>
      <c r="D13046" s="4" t="n">
        <v>104.06</v>
      </c>
      <c r="E13046" s="5" t="n">
        <v>149.9</v>
      </c>
      <c r="F13046" s="3" t="inlineStr">
        <is>
          <t>강내면</t>
        </is>
      </c>
      <c r="G13046" s="3" t="inlineStr">
        <is>
          <t>석화리</t>
        </is>
      </c>
      <c r="H13046" s="3" t="inlineStr">
        <is>
          <t>단독다가구</t>
        </is>
      </c>
      <c r="I13046" s="3" t="inlineStr">
        <is>
          <t>단독</t>
        </is>
      </c>
      <c r="J13046" s="3" t="inlineStr">
        <is>
          <t>강내면</t>
        </is>
      </c>
    </row>
    <row r="13047">
      <c r="A13047" s="3" t="n">
        <v>2023</v>
      </c>
      <c r="B13047" s="4" t="n">
        <v>37000</v>
      </c>
      <c r="C13047" s="4" t="n">
        <v>440</v>
      </c>
      <c r="D13047" s="4" t="n">
        <v>133.1</v>
      </c>
      <c r="E13047" s="5" t="n">
        <v>278</v>
      </c>
      <c r="F13047" s="3" t="inlineStr">
        <is>
          <t>남이면</t>
        </is>
      </c>
      <c r="G13047" s="3" t="inlineStr">
        <is>
          <t>문동리</t>
        </is>
      </c>
      <c r="H13047" s="3" t="inlineStr">
        <is>
          <t>단독다가구</t>
        </is>
      </c>
      <c r="I13047" s="3" t="inlineStr">
        <is>
          <t>단독</t>
        </is>
      </c>
      <c r="J13047" s="3" t="inlineStr">
        <is>
          <t>남이면</t>
        </is>
      </c>
    </row>
    <row r="13048">
      <c r="A13048" s="3" t="n">
        <v>2023</v>
      </c>
      <c r="B13048" s="4" t="n">
        <v>30400</v>
      </c>
      <c r="C13048" s="4" t="n">
        <v>774</v>
      </c>
      <c r="D13048" s="4" t="n">
        <v>234.135</v>
      </c>
      <c r="E13048" s="5" t="n">
        <v>129.8</v>
      </c>
      <c r="F13048" s="3" t="inlineStr">
        <is>
          <t>남이면</t>
        </is>
      </c>
      <c r="G13048" s="3" t="inlineStr">
        <is>
          <t>석판리</t>
        </is>
      </c>
      <c r="H13048" s="3" t="inlineStr">
        <is>
          <t>단독다가구</t>
        </is>
      </c>
      <c r="I13048" s="3" t="inlineStr">
        <is>
          <t>단독</t>
        </is>
      </c>
      <c r="J13048" s="3" t="inlineStr">
        <is>
          <t>남이면</t>
        </is>
      </c>
    </row>
    <row r="13049">
      <c r="A13049" s="3" t="n">
        <v>2023</v>
      </c>
      <c r="B13049" s="4" t="n">
        <v>58000</v>
      </c>
      <c r="C13049" s="4" t="n">
        <v>457</v>
      </c>
      <c r="D13049" s="4" t="n">
        <v>138.2425</v>
      </c>
      <c r="E13049" s="5" t="n">
        <v>419.6</v>
      </c>
      <c r="F13049" s="3" t="inlineStr">
        <is>
          <t>남이면</t>
        </is>
      </c>
      <c r="G13049" s="3" t="inlineStr">
        <is>
          <t>석판리</t>
        </is>
      </c>
      <c r="H13049" s="3" t="inlineStr">
        <is>
          <t>단독다가구</t>
        </is>
      </c>
      <c r="I13049" s="3" t="inlineStr">
        <is>
          <t>단독</t>
        </is>
      </c>
      <c r="J13049" s="3" t="inlineStr">
        <is>
          <t>남이면</t>
        </is>
      </c>
    </row>
    <row r="13050">
      <c r="A13050" s="3" t="n">
        <v>2023</v>
      </c>
      <c r="B13050" s="4" t="n">
        <v>58000</v>
      </c>
      <c r="C13050" s="4" t="n">
        <v>457</v>
      </c>
      <c r="D13050" s="4" t="n">
        <v>138.2425</v>
      </c>
      <c r="E13050" s="5" t="n">
        <v>419.6</v>
      </c>
      <c r="F13050" s="3" t="inlineStr">
        <is>
          <t>남이면</t>
        </is>
      </c>
      <c r="G13050" s="3" t="inlineStr">
        <is>
          <t>석판리</t>
        </is>
      </c>
      <c r="H13050" s="3" t="inlineStr">
        <is>
          <t>단독다가구</t>
        </is>
      </c>
      <c r="I13050" s="3" t="inlineStr">
        <is>
          <t>단독</t>
        </is>
      </c>
      <c r="J13050" s="3" t="inlineStr">
        <is>
          <t>남이면</t>
        </is>
      </c>
    </row>
    <row r="13051">
      <c r="A13051" s="3" t="n">
        <v>2023</v>
      </c>
      <c r="B13051" s="4" t="n">
        <v>15000</v>
      </c>
      <c r="C13051" s="4" t="n">
        <v>340</v>
      </c>
      <c r="D13051" s="4" t="n">
        <v>102.85</v>
      </c>
      <c r="E13051" s="5" t="n">
        <v>145.8</v>
      </c>
      <c r="F13051" s="3" t="inlineStr">
        <is>
          <t>현도면</t>
        </is>
      </c>
      <c r="G13051" s="3" t="inlineStr">
        <is>
          <t>시동리</t>
        </is>
      </c>
      <c r="H13051" s="3" t="inlineStr">
        <is>
          <t>단독다가구</t>
        </is>
      </c>
      <c r="I13051" s="3" t="inlineStr">
        <is>
          <t>단독</t>
        </is>
      </c>
      <c r="J13051" s="3" t="inlineStr">
        <is>
          <t>현도면</t>
        </is>
      </c>
    </row>
    <row r="13052">
      <c r="A13052" s="3" t="n">
        <v>2023</v>
      </c>
      <c r="B13052" s="4" t="n">
        <v>45000</v>
      </c>
      <c r="C13052" s="4" t="n">
        <v>507</v>
      </c>
      <c r="D13052" s="4" t="n">
        <v>153.3675</v>
      </c>
      <c r="E13052" s="5" t="n">
        <v>293.4</v>
      </c>
      <c r="F13052" s="3" t="inlineStr">
        <is>
          <t>남이면</t>
        </is>
      </c>
      <c r="G13052" s="3" t="inlineStr">
        <is>
          <t>가좌리</t>
        </is>
      </c>
      <c r="H13052" s="3" t="inlineStr">
        <is>
          <t>단독다가구</t>
        </is>
      </c>
      <c r="I13052" s="3" t="inlineStr">
        <is>
          <t>단독</t>
        </is>
      </c>
      <c r="J13052" s="3" t="inlineStr">
        <is>
          <t>남이면</t>
        </is>
      </c>
    </row>
    <row r="13053">
      <c r="A13053" s="3" t="n">
        <v>2023</v>
      </c>
      <c r="B13053" s="4" t="n">
        <v>8000</v>
      </c>
      <c r="C13053" s="4" t="n">
        <v>448</v>
      </c>
      <c r="D13053" s="4" t="n">
        <v>135.52</v>
      </c>
      <c r="E13053" s="5" t="n">
        <v>59</v>
      </c>
      <c r="F13053" s="3" t="inlineStr">
        <is>
          <t>현도면</t>
        </is>
      </c>
      <c r="G13053" s="3" t="inlineStr">
        <is>
          <t>중척리</t>
        </is>
      </c>
      <c r="H13053" s="3" t="inlineStr">
        <is>
          <t>단독다가구</t>
        </is>
      </c>
      <c r="I13053" s="3" t="inlineStr">
        <is>
          <t>단독</t>
        </is>
      </c>
      <c r="J13053" s="3" t="inlineStr">
        <is>
          <t>현도면</t>
        </is>
      </c>
    </row>
    <row r="13054">
      <c r="A13054" s="3" t="n">
        <v>2023</v>
      </c>
      <c r="B13054" s="4" t="n">
        <v>68900</v>
      </c>
      <c r="C13054" s="4" t="n">
        <v>600</v>
      </c>
      <c r="D13054" s="4" t="n">
        <v>181.5</v>
      </c>
      <c r="E13054" s="5" t="n">
        <v>379.6</v>
      </c>
      <c r="F13054" s="3" t="inlineStr">
        <is>
          <t>남이면</t>
        </is>
      </c>
      <c r="G13054" s="3" t="inlineStr">
        <is>
          <t>석판리</t>
        </is>
      </c>
      <c r="H13054" s="3" t="inlineStr">
        <is>
          <t>단독다가구</t>
        </is>
      </c>
      <c r="I13054" s="3" t="inlineStr">
        <is>
          <t>단독</t>
        </is>
      </c>
      <c r="J13054" s="3" t="inlineStr">
        <is>
          <t>남이면</t>
        </is>
      </c>
    </row>
    <row r="13055">
      <c r="A13055" s="3" t="n">
        <v>2023</v>
      </c>
      <c r="B13055" s="4" t="n">
        <v>19550</v>
      </c>
      <c r="C13055" s="4" t="n">
        <v>565</v>
      </c>
      <c r="D13055" s="4" t="n">
        <v>170.9125</v>
      </c>
      <c r="E13055" s="5" t="n">
        <v>114.4</v>
      </c>
      <c r="F13055" s="3" t="inlineStr">
        <is>
          <t>남이면</t>
        </is>
      </c>
      <c r="G13055" s="3" t="inlineStr">
        <is>
          <t>외천리</t>
        </is>
      </c>
      <c r="H13055" s="3" t="inlineStr">
        <is>
          <t>단독다가구</t>
        </is>
      </c>
      <c r="I13055" s="3" t="inlineStr">
        <is>
          <t>단독</t>
        </is>
      </c>
      <c r="J13055" s="3" t="inlineStr">
        <is>
          <t>남이면</t>
        </is>
      </c>
    </row>
    <row r="13056">
      <c r="A13056" s="3" t="n">
        <v>2026</v>
      </c>
      <c r="B13056" s="4" t="n">
        <v>68000</v>
      </c>
      <c r="C13056" s="4" t="n">
        <v>259.9</v>
      </c>
      <c r="D13056" s="4" t="n">
        <v>78.61975</v>
      </c>
      <c r="E13056" s="5" t="n">
        <v>864.9</v>
      </c>
      <c r="F13056" s="3" t="inlineStr">
        <is>
          <t>오송읍</t>
        </is>
      </c>
      <c r="G13056" s="3" t="inlineStr">
        <is>
          <t>만수리</t>
        </is>
      </c>
      <c r="H13056" s="3" t="inlineStr">
        <is>
          <t>단독다가구</t>
        </is>
      </c>
      <c r="I13056" s="3" t="inlineStr">
        <is>
          <t>다가구</t>
        </is>
      </c>
      <c r="J13056" s="3" t="inlineStr">
        <is>
          <t>오송읍</t>
        </is>
      </c>
    </row>
    <row r="13057">
      <c r="A13057" s="3" t="n">
        <v>2026</v>
      </c>
      <c r="B13057" s="4" t="n">
        <v>37000</v>
      </c>
      <c r="C13057" s="4" t="n">
        <v>514.4</v>
      </c>
      <c r="D13057" s="4" t="n">
        <v>155.606</v>
      </c>
      <c r="E13057" s="5" t="n">
        <v>237.8</v>
      </c>
      <c r="F13057" s="3" t="inlineStr">
        <is>
          <t>강내면</t>
        </is>
      </c>
      <c r="G13057" s="3" t="inlineStr">
        <is>
          <t>궁현리</t>
        </is>
      </c>
      <c r="H13057" s="3" t="inlineStr">
        <is>
          <t>단독다가구</t>
        </is>
      </c>
      <c r="I13057" s="3" t="inlineStr">
        <is>
          <t>단독</t>
        </is>
      </c>
      <c r="J13057" s="3" t="inlineStr">
        <is>
          <t>강내면</t>
        </is>
      </c>
    </row>
    <row r="13058">
      <c r="A13058" s="3" t="n">
        <v>2026</v>
      </c>
      <c r="B13058" s="4" t="n">
        <v>70000</v>
      </c>
      <c r="C13058" s="4" t="n">
        <v>275.8</v>
      </c>
      <c r="D13058" s="4" t="n">
        <v>83.4295</v>
      </c>
      <c r="E13058" s="5" t="n">
        <v>839</v>
      </c>
      <c r="F13058" s="3" t="inlineStr">
        <is>
          <t>오송읍</t>
        </is>
      </c>
      <c r="G13058" s="3" t="inlineStr">
        <is>
          <t>만수리</t>
        </is>
      </c>
      <c r="H13058" s="3" t="inlineStr">
        <is>
          <t>단독다가구</t>
        </is>
      </c>
      <c r="I13058" s="3" t="inlineStr">
        <is>
          <t>다가구</t>
        </is>
      </c>
      <c r="J13058" s="3" t="inlineStr">
        <is>
          <t>오송읍</t>
        </is>
      </c>
    </row>
    <row r="13059">
      <c r="A13059" s="3" t="n">
        <v>2026</v>
      </c>
      <c r="B13059" s="4" t="n">
        <v>70000</v>
      </c>
      <c r="C13059" s="4" t="n">
        <v>265.7</v>
      </c>
      <c r="D13059" s="4" t="n">
        <v>80.37424999999999</v>
      </c>
      <c r="E13059" s="5" t="n">
        <v>870.9</v>
      </c>
      <c r="F13059" s="3" t="inlineStr">
        <is>
          <t>오송읍</t>
        </is>
      </c>
      <c r="G13059" s="3" t="inlineStr">
        <is>
          <t>연제리</t>
        </is>
      </c>
      <c r="H13059" s="3" t="inlineStr">
        <is>
          <t>단독다가구</t>
        </is>
      </c>
      <c r="I13059" s="3" t="inlineStr">
        <is>
          <t>다가구</t>
        </is>
      </c>
      <c r="J13059" s="3" t="inlineStr">
        <is>
          <t>오송읍</t>
        </is>
      </c>
    </row>
    <row r="13060">
      <c r="A13060" s="3" t="n">
        <v>2026</v>
      </c>
      <c r="B13060" s="4" t="n">
        <v>148000</v>
      </c>
      <c r="C13060" s="4" t="n">
        <v>263.6</v>
      </c>
      <c r="D13060" s="4" t="n">
        <v>79.739</v>
      </c>
      <c r="E13060" s="5" t="n">
        <v>1856.1</v>
      </c>
      <c r="F13060" s="3" t="inlineStr">
        <is>
          <t>오송읍</t>
        </is>
      </c>
      <c r="G13060" s="3" t="inlineStr">
        <is>
          <t>봉산리</t>
        </is>
      </c>
      <c r="H13060" s="3" t="inlineStr">
        <is>
          <t>단독다가구</t>
        </is>
      </c>
      <c r="I13060" s="3" t="inlineStr">
        <is>
          <t>다가구</t>
        </is>
      </c>
      <c r="J13060" s="3" t="inlineStr">
        <is>
          <t>오송읍</t>
        </is>
      </c>
    </row>
    <row r="13061">
      <c r="A13061" s="3" t="n">
        <v>2026</v>
      </c>
      <c r="B13061" s="4" t="n">
        <v>73250</v>
      </c>
      <c r="C13061" s="4" t="n">
        <v>249.6</v>
      </c>
      <c r="D13061" s="4" t="n">
        <v>75.50399999999999</v>
      </c>
      <c r="E13061" s="5" t="n">
        <v>970.1</v>
      </c>
      <c r="F13061" s="3" t="inlineStr">
        <is>
          <t>오송읍</t>
        </is>
      </c>
      <c r="G13061" s="3" t="inlineStr">
        <is>
          <t>만수리</t>
        </is>
      </c>
      <c r="H13061" s="3" t="inlineStr">
        <is>
          <t>단독다가구</t>
        </is>
      </c>
      <c r="I13061" s="3" t="inlineStr">
        <is>
          <t>다가구</t>
        </is>
      </c>
      <c r="J13061" s="3" t="inlineStr">
        <is>
          <t>오송읍</t>
        </is>
      </c>
    </row>
    <row r="13062">
      <c r="A13062" s="3" t="n">
        <v>2026</v>
      </c>
      <c r="B13062" s="4" t="n">
        <v>74000</v>
      </c>
      <c r="C13062" s="4" t="n">
        <v>273.8</v>
      </c>
      <c r="D13062" s="4" t="n">
        <v>82.8245</v>
      </c>
      <c r="E13062" s="5" t="n">
        <v>893.5</v>
      </c>
      <c r="F13062" s="3" t="inlineStr">
        <is>
          <t>오송읍</t>
        </is>
      </c>
      <c r="G13062" s="3" t="inlineStr">
        <is>
          <t>연제리</t>
        </is>
      </c>
      <c r="H13062" s="3" t="inlineStr">
        <is>
          <t>단독다가구</t>
        </is>
      </c>
      <c r="I13062" s="3" t="inlineStr">
        <is>
          <t>다가구</t>
        </is>
      </c>
      <c r="J13062" s="3" t="inlineStr">
        <is>
          <t>오송읍</t>
        </is>
      </c>
    </row>
    <row r="13063">
      <c r="A13063" s="3" t="n">
        <v>2026</v>
      </c>
      <c r="B13063" s="4" t="n">
        <v>70000</v>
      </c>
      <c r="C13063" s="4" t="n">
        <v>330</v>
      </c>
      <c r="D13063" s="4" t="n">
        <v>99.825</v>
      </c>
      <c r="E13063" s="5" t="n">
        <v>701.2</v>
      </c>
      <c r="F13063" s="3" t="inlineStr">
        <is>
          <t>강내면</t>
        </is>
      </c>
      <c r="G13063" s="3" t="inlineStr">
        <is>
          <t>월곡리</t>
        </is>
      </c>
      <c r="H13063" s="3" t="inlineStr">
        <is>
          <t>단독다가구</t>
        </is>
      </c>
      <c r="I13063" s="3" t="inlineStr">
        <is>
          <t>단독</t>
        </is>
      </c>
      <c r="J13063" s="3" t="inlineStr">
        <is>
          <t>강내면</t>
        </is>
      </c>
    </row>
    <row r="13064">
      <c r="A13064" s="3" t="n">
        <v>2026</v>
      </c>
      <c r="B13064" s="4" t="n">
        <v>12000</v>
      </c>
      <c r="C13064" s="4" t="n">
        <v>146</v>
      </c>
      <c r="D13064" s="4" t="n">
        <v>44.165</v>
      </c>
      <c r="E13064" s="5" t="n">
        <v>271.7</v>
      </c>
      <c r="F13064" s="3" t="inlineStr">
        <is>
          <t>오송읍</t>
        </is>
      </c>
      <c r="G13064" s="3" t="inlineStr">
        <is>
          <t>연제리</t>
        </is>
      </c>
      <c r="H13064" s="3" t="inlineStr">
        <is>
          <t>단독다가구</t>
        </is>
      </c>
      <c r="I13064" s="3" t="inlineStr">
        <is>
          <t>단독</t>
        </is>
      </c>
      <c r="J13064" s="3" t="inlineStr">
        <is>
          <t>오송읍</t>
        </is>
      </c>
    </row>
    <row r="13065">
      <c r="A13065" s="3" t="n">
        <v>2026</v>
      </c>
      <c r="B13065" s="4" t="n">
        <v>40466</v>
      </c>
      <c r="C13065" s="4" t="n">
        <v>751</v>
      </c>
      <c r="D13065" s="4" t="n">
        <v>227.1775</v>
      </c>
      <c r="E13065" s="5" t="n">
        <v>178.1</v>
      </c>
      <c r="F13065" s="3" t="inlineStr">
        <is>
          <t>강내면</t>
        </is>
      </c>
      <c r="G13065" s="3" t="inlineStr">
        <is>
          <t>탑연리</t>
        </is>
      </c>
      <c r="H13065" s="3" t="inlineStr">
        <is>
          <t>단독다가구</t>
        </is>
      </c>
      <c r="I13065" s="3" t="inlineStr">
        <is>
          <t>단독</t>
        </is>
      </c>
      <c r="J13065" s="3" t="inlineStr">
        <is>
          <t>강내면</t>
        </is>
      </c>
    </row>
    <row r="13066">
      <c r="A13066" s="3" t="n">
        <v>2026</v>
      </c>
      <c r="B13066" s="4" t="n">
        <v>58000</v>
      </c>
      <c r="C13066" s="4" t="n">
        <v>516</v>
      </c>
      <c r="D13066" s="4" t="n">
        <v>156.09</v>
      </c>
      <c r="E13066" s="5" t="n">
        <v>371.6</v>
      </c>
      <c r="F13066" s="3" t="inlineStr">
        <is>
          <t>오송읍</t>
        </is>
      </c>
      <c r="G13066" s="3" t="inlineStr">
        <is>
          <t>만수리</t>
        </is>
      </c>
      <c r="H13066" s="3" t="inlineStr">
        <is>
          <t>단독다가구</t>
        </is>
      </c>
      <c r="I13066" s="3" t="inlineStr">
        <is>
          <t>단독</t>
        </is>
      </c>
      <c r="J13066" s="3" t="inlineStr">
        <is>
          <t>오송읍</t>
        </is>
      </c>
    </row>
    <row r="13067">
      <c r="A13067" s="3" t="n">
        <v>2026</v>
      </c>
      <c r="B13067" s="4" t="n">
        <v>38000</v>
      </c>
      <c r="C13067" s="4" t="n">
        <v>430</v>
      </c>
      <c r="D13067" s="4" t="n">
        <v>130.075</v>
      </c>
      <c r="E13067" s="5" t="n">
        <v>292.1</v>
      </c>
      <c r="F13067" s="3" t="inlineStr">
        <is>
          <t>강내면</t>
        </is>
      </c>
      <c r="G13067" s="3" t="inlineStr">
        <is>
          <t>궁현리</t>
        </is>
      </c>
      <c r="H13067" s="3" t="inlineStr">
        <is>
          <t>단독다가구</t>
        </is>
      </c>
      <c r="I13067" s="3" t="inlineStr">
        <is>
          <t>단독</t>
        </is>
      </c>
      <c r="J13067" s="3" t="inlineStr">
        <is>
          <t>강내면</t>
        </is>
      </c>
    </row>
    <row r="13068">
      <c r="A13068" s="3" t="n">
        <v>2026</v>
      </c>
      <c r="B13068" s="4" t="n">
        <v>152500</v>
      </c>
      <c r="C13068" s="4" t="n">
        <v>311.6</v>
      </c>
      <c r="D13068" s="4" t="n">
        <v>94.259</v>
      </c>
      <c r="E13068" s="5" t="n">
        <v>1617.9</v>
      </c>
      <c r="F13068" s="3" t="inlineStr">
        <is>
          <t>오송읍</t>
        </is>
      </c>
      <c r="G13068" s="3" t="inlineStr">
        <is>
          <t>봉산리</t>
        </is>
      </c>
      <c r="H13068" s="3" t="inlineStr">
        <is>
          <t>단독다가구</t>
        </is>
      </c>
      <c r="I13068" s="3" t="inlineStr">
        <is>
          <t>다가구</t>
        </is>
      </c>
      <c r="J13068" s="3" t="inlineStr">
        <is>
          <t>오송읍</t>
        </is>
      </c>
    </row>
    <row r="13069">
      <c r="A13069" s="3" t="n">
        <v>2026</v>
      </c>
      <c r="B13069" s="4" t="n">
        <v>22450</v>
      </c>
      <c r="C13069" s="4" t="n">
        <v>173</v>
      </c>
      <c r="D13069" s="4" t="n">
        <v>52.3325</v>
      </c>
      <c r="E13069" s="5" t="n">
        <v>429</v>
      </c>
      <c r="F13069" s="3" t="inlineStr">
        <is>
          <t>오송읍</t>
        </is>
      </c>
      <c r="G13069" s="3" t="inlineStr">
        <is>
          <t>동평리</t>
        </is>
      </c>
      <c r="H13069" s="3" t="inlineStr">
        <is>
          <t>단독다가구</t>
        </is>
      </c>
      <c r="I13069" s="3" t="inlineStr">
        <is>
          <t>단독</t>
        </is>
      </c>
      <c r="J13069" s="3" t="inlineStr">
        <is>
          <t>오송읍</t>
        </is>
      </c>
    </row>
    <row r="13070">
      <c r="A13070" s="3" t="n">
        <v>2026</v>
      </c>
      <c r="B13070" s="4" t="n">
        <v>24795</v>
      </c>
      <c r="C13070" s="4" t="n">
        <v>334</v>
      </c>
      <c r="D13070" s="4" t="n">
        <v>101.035</v>
      </c>
      <c r="E13070" s="5" t="n">
        <v>245.4</v>
      </c>
      <c r="F13070" s="3" t="inlineStr">
        <is>
          <t>강내면</t>
        </is>
      </c>
      <c r="G13070" s="3" t="inlineStr">
        <is>
          <t>석화리</t>
        </is>
      </c>
      <c r="H13070" s="3" t="inlineStr">
        <is>
          <t>단독다가구</t>
        </is>
      </c>
      <c r="I13070" s="3" t="inlineStr">
        <is>
          <t>단독</t>
        </is>
      </c>
      <c r="J13070" s="3" t="inlineStr">
        <is>
          <t>강내면</t>
        </is>
      </c>
    </row>
    <row r="13071">
      <c r="A13071" s="3" t="n">
        <v>2026</v>
      </c>
      <c r="B13071" s="4" t="n">
        <v>25000</v>
      </c>
      <c r="C13071" s="4" t="n">
        <v>182</v>
      </c>
      <c r="D13071" s="4" t="n">
        <v>55.055</v>
      </c>
      <c r="E13071" s="5" t="n">
        <v>454.1</v>
      </c>
      <c r="F13071" s="3" t="inlineStr">
        <is>
          <t>오송읍</t>
        </is>
      </c>
      <c r="G13071" s="3" t="inlineStr">
        <is>
          <t>오송리</t>
        </is>
      </c>
      <c r="H13071" s="3" t="inlineStr">
        <is>
          <t>단독다가구</t>
        </is>
      </c>
      <c r="I13071" s="3" t="inlineStr">
        <is>
          <t>단독</t>
        </is>
      </c>
      <c r="J13071" s="3" t="inlineStr">
        <is>
          <t>오송읍</t>
        </is>
      </c>
    </row>
    <row r="13072">
      <c r="A13072" s="3" t="n">
        <v>2026</v>
      </c>
      <c r="B13072" s="4" t="n">
        <v>68000</v>
      </c>
      <c r="C13072" s="4" t="n">
        <v>245</v>
      </c>
      <c r="D13072" s="4" t="n">
        <v>74.1125</v>
      </c>
      <c r="E13072" s="5" t="n">
        <v>917.5</v>
      </c>
      <c r="F13072" s="3" t="inlineStr">
        <is>
          <t>오송읍</t>
        </is>
      </c>
      <c r="G13072" s="3" t="inlineStr">
        <is>
          <t>만수리</t>
        </is>
      </c>
      <c r="H13072" s="3" t="inlineStr">
        <is>
          <t>단독다가구</t>
        </is>
      </c>
      <c r="I13072" s="3" t="inlineStr">
        <is>
          <t>다가구</t>
        </is>
      </c>
      <c r="J13072" s="3" t="inlineStr">
        <is>
          <t>오송읍</t>
        </is>
      </c>
    </row>
    <row r="13073">
      <c r="A13073" s="3" t="n">
        <v>2026</v>
      </c>
      <c r="B13073" s="4" t="n">
        <v>6500</v>
      </c>
      <c r="C13073" s="4" t="n">
        <v>119</v>
      </c>
      <c r="D13073" s="4" t="n">
        <v>35.9975</v>
      </c>
      <c r="E13073" s="5" t="n">
        <v>180.6</v>
      </c>
      <c r="F13073" s="3" t="inlineStr">
        <is>
          <t>오송읍</t>
        </is>
      </c>
      <c r="G13073" s="3" t="inlineStr">
        <is>
          <t>봉산리</t>
        </is>
      </c>
      <c r="H13073" s="3" t="inlineStr">
        <is>
          <t>단독다가구</t>
        </is>
      </c>
      <c r="I13073" s="3" t="inlineStr">
        <is>
          <t>단독</t>
        </is>
      </c>
      <c r="J13073" s="3" t="inlineStr">
        <is>
          <t>오송읍</t>
        </is>
      </c>
    </row>
    <row r="13074">
      <c r="A13074" s="3" t="n">
        <v>2026</v>
      </c>
      <c r="B13074" s="4" t="n">
        <v>22792</v>
      </c>
      <c r="C13074" s="4" t="n">
        <v>485</v>
      </c>
      <c r="D13074" s="4" t="n">
        <v>146.7125</v>
      </c>
      <c r="E13074" s="5" t="n">
        <v>155.4</v>
      </c>
      <c r="F13074" s="3" t="inlineStr">
        <is>
          <t>오송읍</t>
        </is>
      </c>
      <c r="G13074" s="3" t="inlineStr">
        <is>
          <t>상정리</t>
        </is>
      </c>
      <c r="H13074" s="3" t="inlineStr">
        <is>
          <t>단독다가구</t>
        </is>
      </c>
      <c r="I13074" s="3" t="inlineStr">
        <is>
          <t>단독</t>
        </is>
      </c>
      <c r="J13074" s="3" t="inlineStr">
        <is>
          <t>오송읍</t>
        </is>
      </c>
    </row>
    <row r="13075">
      <c r="A13075" s="3" t="n">
        <v>2026</v>
      </c>
      <c r="B13075" s="4" t="n">
        <v>41700</v>
      </c>
      <c r="C13075" s="4" t="n">
        <v>383</v>
      </c>
      <c r="D13075" s="4" t="n">
        <v>115.8575</v>
      </c>
      <c r="E13075" s="5" t="n">
        <v>359.9</v>
      </c>
      <c r="F13075" s="3" t="inlineStr">
        <is>
          <t>강내면</t>
        </is>
      </c>
      <c r="G13075" s="3" t="inlineStr">
        <is>
          <t>궁현리</t>
        </is>
      </c>
      <c r="H13075" s="3" t="inlineStr">
        <is>
          <t>단독다가구</t>
        </is>
      </c>
      <c r="I13075" s="3" t="inlineStr">
        <is>
          <t>단독</t>
        </is>
      </c>
      <c r="J13075" s="3" t="inlineStr">
        <is>
          <t>강내면</t>
        </is>
      </c>
    </row>
    <row r="13076">
      <c r="A13076" s="3" t="n">
        <v>2025</v>
      </c>
      <c r="B13076" s="4" t="n">
        <v>124000</v>
      </c>
      <c r="C13076" s="4" t="n">
        <v>271.1</v>
      </c>
      <c r="D13076" s="4" t="n">
        <v>82.00775</v>
      </c>
      <c r="E13076" s="5" t="n">
        <v>1512.1</v>
      </c>
      <c r="F13076" s="3" t="inlineStr">
        <is>
          <t>오송읍</t>
        </is>
      </c>
      <c r="G13076" s="3" t="inlineStr">
        <is>
          <t>봉산리</t>
        </is>
      </c>
      <c r="H13076" s="3" t="inlineStr">
        <is>
          <t>단독다가구</t>
        </is>
      </c>
      <c r="I13076" s="3" t="inlineStr">
        <is>
          <t>다가구</t>
        </is>
      </c>
      <c r="J13076" s="3" t="inlineStr">
        <is>
          <t>오송읍</t>
        </is>
      </c>
    </row>
    <row r="13077">
      <c r="A13077" s="3" t="n">
        <v>2024</v>
      </c>
      <c r="B13077" s="4" t="n">
        <v>10500</v>
      </c>
      <c r="C13077" s="4" t="n">
        <v>215</v>
      </c>
      <c r="D13077" s="4" t="n">
        <v>65.03749999999999</v>
      </c>
      <c r="E13077" s="5" t="n">
        <v>161.4</v>
      </c>
      <c r="F13077" s="3" t="inlineStr">
        <is>
          <t>유구읍</t>
        </is>
      </c>
      <c r="G13077" s="3" t="inlineStr">
        <is>
          <t>유구리</t>
        </is>
      </c>
      <c r="H13077" s="3" t="inlineStr">
        <is>
          <t>단독다가구</t>
        </is>
      </c>
      <c r="I13077" s="3" t="inlineStr">
        <is>
          <t>단독</t>
        </is>
      </c>
      <c r="J13077" s="3" t="inlineStr">
        <is>
          <t>유구읍</t>
        </is>
      </c>
    </row>
    <row r="13078">
      <c r="A13078" s="3" t="n">
        <v>2024</v>
      </c>
      <c r="B13078" s="4" t="n">
        <v>26700</v>
      </c>
      <c r="C13078" s="4" t="n">
        <v>575</v>
      </c>
      <c r="D13078" s="4" t="n">
        <v>173.9375</v>
      </c>
      <c r="E13078" s="5" t="n">
        <v>153.5</v>
      </c>
      <c r="F13078" s="3" t="inlineStr">
        <is>
          <t>유구읍</t>
        </is>
      </c>
      <c r="G13078" s="3" t="inlineStr">
        <is>
          <t>석남리</t>
        </is>
      </c>
      <c r="H13078" s="3" t="inlineStr">
        <is>
          <t>단독다가구</t>
        </is>
      </c>
      <c r="I13078" s="3" t="inlineStr">
        <is>
          <t>단독</t>
        </is>
      </c>
      <c r="J13078" s="3" t="inlineStr">
        <is>
          <t>유구읍</t>
        </is>
      </c>
    </row>
    <row r="13079">
      <c r="A13079" s="3" t="n">
        <v>2024</v>
      </c>
      <c r="B13079" s="4" t="n">
        <v>6000</v>
      </c>
      <c r="C13079" s="4" t="n">
        <v>248</v>
      </c>
      <c r="D13079" s="4" t="n">
        <v>75.02</v>
      </c>
      <c r="E13079" s="5" t="n">
        <v>80</v>
      </c>
      <c r="F13079" s="3" t="inlineStr">
        <is>
          <t>유구읍</t>
        </is>
      </c>
      <c r="G13079" s="3" t="inlineStr">
        <is>
          <t>석남리</t>
        </is>
      </c>
      <c r="H13079" s="3" t="inlineStr">
        <is>
          <t>단독다가구</t>
        </is>
      </c>
      <c r="I13079" s="3" t="inlineStr">
        <is>
          <t>단독</t>
        </is>
      </c>
      <c r="J13079" s="3" t="inlineStr">
        <is>
          <t>유구읍</t>
        </is>
      </c>
    </row>
    <row r="13080">
      <c r="A13080" s="3" t="n">
        <v>2024</v>
      </c>
      <c r="B13080" s="4" t="n">
        <v>19700</v>
      </c>
      <c r="C13080" s="4" t="n">
        <v>659</v>
      </c>
      <c r="D13080" s="4" t="n">
        <v>199.3475</v>
      </c>
      <c r="E13080" s="5" t="n">
        <v>98.8</v>
      </c>
      <c r="F13080" s="3" t="inlineStr">
        <is>
          <t>유구읍</t>
        </is>
      </c>
      <c r="G13080" s="3" t="inlineStr">
        <is>
          <t>만천리</t>
        </is>
      </c>
      <c r="H13080" s="3" t="inlineStr">
        <is>
          <t>단독다가구</t>
        </is>
      </c>
      <c r="I13080" s="3" t="inlineStr">
        <is>
          <t>단독</t>
        </is>
      </c>
      <c r="J13080" s="3" t="inlineStr">
        <is>
          <t>유구읍</t>
        </is>
      </c>
    </row>
    <row r="13081">
      <c r="A13081" s="3" t="n">
        <v>2024</v>
      </c>
      <c r="B13081" s="4" t="n">
        <v>12500</v>
      </c>
      <c r="C13081" s="4" t="n">
        <v>307</v>
      </c>
      <c r="D13081" s="4" t="n">
        <v>92.86749999999999</v>
      </c>
      <c r="E13081" s="5" t="n">
        <v>134.6</v>
      </c>
      <c r="F13081" s="3" t="inlineStr">
        <is>
          <t>유구읍</t>
        </is>
      </c>
      <c r="G13081" s="3" t="inlineStr">
        <is>
          <t>석남리</t>
        </is>
      </c>
      <c r="H13081" s="3" t="inlineStr">
        <is>
          <t>단독다가구</t>
        </is>
      </c>
      <c r="I13081" s="3" t="inlineStr">
        <is>
          <t>단독</t>
        </is>
      </c>
      <c r="J13081" s="3" t="inlineStr">
        <is>
          <t>유구읍</t>
        </is>
      </c>
    </row>
    <row r="13082">
      <c r="A13082" s="3" t="n">
        <v>2024</v>
      </c>
      <c r="B13082" s="4" t="n">
        <v>6500</v>
      </c>
      <c r="C13082" s="4" t="n">
        <v>169</v>
      </c>
      <c r="D13082" s="4" t="n">
        <v>51.1225</v>
      </c>
      <c r="E13082" s="5" t="n">
        <v>127.1</v>
      </c>
      <c r="F13082" s="3" t="inlineStr">
        <is>
          <t>유구읍</t>
        </is>
      </c>
      <c r="G13082" s="3" t="inlineStr">
        <is>
          <t>석남리</t>
        </is>
      </c>
      <c r="H13082" s="3" t="inlineStr">
        <is>
          <t>단독다가구</t>
        </is>
      </c>
      <c r="I13082" s="3" t="inlineStr">
        <is>
          <t>단독</t>
        </is>
      </c>
      <c r="J13082" s="3" t="inlineStr">
        <is>
          <t>유구읍</t>
        </is>
      </c>
    </row>
    <row r="13083">
      <c r="A13083" s="3" t="n">
        <v>2024</v>
      </c>
      <c r="B13083" s="4" t="n">
        <v>1800</v>
      </c>
      <c r="C13083" s="4" t="n">
        <v>56</v>
      </c>
      <c r="D13083" s="4" t="n">
        <v>16.94</v>
      </c>
      <c r="E13083" s="5" t="n">
        <v>106.3</v>
      </c>
      <c r="F13083" s="3" t="inlineStr">
        <is>
          <t>유구읍</t>
        </is>
      </c>
      <c r="G13083" s="3" t="inlineStr">
        <is>
          <t>석남리</t>
        </is>
      </c>
      <c r="H13083" s="3" t="inlineStr">
        <is>
          <t>단독다가구</t>
        </is>
      </c>
      <c r="I13083" s="3" t="inlineStr">
        <is>
          <t>단독</t>
        </is>
      </c>
      <c r="J13083" s="3" t="inlineStr">
        <is>
          <t>유구읍</t>
        </is>
      </c>
    </row>
    <row r="13084">
      <c r="A13084" s="3" t="n">
        <v>2024</v>
      </c>
      <c r="B13084" s="4" t="n">
        <v>11000</v>
      </c>
      <c r="C13084" s="4" t="n">
        <v>277</v>
      </c>
      <c r="D13084" s="4" t="n">
        <v>83.7925</v>
      </c>
      <c r="E13084" s="5" t="n">
        <v>131.3</v>
      </c>
      <c r="F13084" s="3" t="inlineStr">
        <is>
          <t>유구읍</t>
        </is>
      </c>
      <c r="G13084" s="3" t="inlineStr">
        <is>
          <t>유구리</t>
        </is>
      </c>
      <c r="H13084" s="3" t="inlineStr">
        <is>
          <t>단독다가구</t>
        </is>
      </c>
      <c r="I13084" s="3" t="inlineStr">
        <is>
          <t>단독</t>
        </is>
      </c>
      <c r="J13084" s="3" t="inlineStr">
        <is>
          <t>유구읍</t>
        </is>
      </c>
    </row>
    <row r="13085">
      <c r="A13085" s="3" t="n">
        <v>2024</v>
      </c>
      <c r="B13085" s="4" t="n">
        <v>9500</v>
      </c>
      <c r="C13085" s="4" t="n">
        <v>258</v>
      </c>
      <c r="D13085" s="4" t="n">
        <v>78.045</v>
      </c>
      <c r="E13085" s="5" t="n">
        <v>121.7</v>
      </c>
      <c r="F13085" s="3" t="inlineStr">
        <is>
          <t>유구읍</t>
        </is>
      </c>
      <c r="G13085" s="3" t="inlineStr">
        <is>
          <t>백교리</t>
        </is>
      </c>
      <c r="H13085" s="3" t="inlineStr">
        <is>
          <t>단독다가구</t>
        </is>
      </c>
      <c r="I13085" s="3" t="inlineStr">
        <is>
          <t>단독</t>
        </is>
      </c>
      <c r="J13085" s="3" t="inlineStr">
        <is>
          <t>유구읍</t>
        </is>
      </c>
    </row>
    <row r="13086">
      <c r="A13086" s="3" t="n">
        <v>2024</v>
      </c>
      <c r="B13086" s="4" t="n">
        <v>17819</v>
      </c>
      <c r="C13086" s="4" t="n">
        <v>1488</v>
      </c>
      <c r="D13086" s="4" t="n">
        <v>450.12</v>
      </c>
      <c r="E13086" s="5" t="n">
        <v>39.6</v>
      </c>
      <c r="F13086" s="3" t="inlineStr">
        <is>
          <t>유구읍</t>
        </is>
      </c>
      <c r="G13086" s="3" t="inlineStr">
        <is>
          <t>동해리</t>
        </is>
      </c>
      <c r="H13086" s="3" t="inlineStr">
        <is>
          <t>단독다가구</t>
        </is>
      </c>
      <c r="I13086" s="3" t="inlineStr">
        <is>
          <t>단독</t>
        </is>
      </c>
      <c r="J13086" s="3" t="inlineStr">
        <is>
          <t>유구읍</t>
        </is>
      </c>
    </row>
    <row r="13087">
      <c r="A13087" s="3" t="n">
        <v>2024</v>
      </c>
      <c r="B13087" s="4" t="n">
        <v>4000</v>
      </c>
      <c r="C13087" s="4" t="n">
        <v>376</v>
      </c>
      <c r="D13087" s="4" t="n">
        <v>113.74</v>
      </c>
      <c r="E13087" s="5" t="n">
        <v>35.2</v>
      </c>
      <c r="F13087" s="3" t="inlineStr">
        <is>
          <t>유구읍</t>
        </is>
      </c>
      <c r="G13087" s="3" t="inlineStr">
        <is>
          <t>신달리</t>
        </is>
      </c>
      <c r="H13087" s="3" t="inlineStr">
        <is>
          <t>단독다가구</t>
        </is>
      </c>
      <c r="I13087" s="3" t="inlineStr">
        <is>
          <t>단독</t>
        </is>
      </c>
      <c r="J13087" s="3" t="inlineStr">
        <is>
          <t>유구읍</t>
        </is>
      </c>
    </row>
    <row r="13088">
      <c r="A13088" s="3" t="n">
        <v>2025</v>
      </c>
      <c r="B13088" s="4" t="n">
        <v>25000</v>
      </c>
      <c r="C13088" s="4" t="n">
        <v>531</v>
      </c>
      <c r="D13088" s="4" t="n">
        <v>160.6275</v>
      </c>
      <c r="E13088" s="5" t="n">
        <v>155.6</v>
      </c>
      <c r="F13088" s="3" t="inlineStr">
        <is>
          <t>유구읍</t>
        </is>
      </c>
      <c r="G13088" s="3" t="inlineStr">
        <is>
          <t>석남리</t>
        </is>
      </c>
      <c r="H13088" s="3" t="inlineStr">
        <is>
          <t>단독다가구</t>
        </is>
      </c>
      <c r="I13088" s="3" t="inlineStr">
        <is>
          <t>단독</t>
        </is>
      </c>
      <c r="J13088" s="3" t="inlineStr">
        <is>
          <t>유구읍</t>
        </is>
      </c>
    </row>
    <row r="13089">
      <c r="A13089" s="3" t="n">
        <v>2025</v>
      </c>
      <c r="B13089" s="4" t="n">
        <v>8000</v>
      </c>
      <c r="C13089" s="4" t="n">
        <v>175</v>
      </c>
      <c r="D13089" s="4" t="n">
        <v>52.9375</v>
      </c>
      <c r="E13089" s="5" t="n">
        <v>151.1</v>
      </c>
      <c r="F13089" s="3" t="inlineStr">
        <is>
          <t>유구읍</t>
        </is>
      </c>
      <c r="G13089" s="3" t="inlineStr">
        <is>
          <t>석남리</t>
        </is>
      </c>
      <c r="H13089" s="3" t="inlineStr">
        <is>
          <t>단독다가구</t>
        </is>
      </c>
      <c r="I13089" s="3" t="inlineStr">
        <is>
          <t>단독</t>
        </is>
      </c>
      <c r="J13089" s="3" t="inlineStr">
        <is>
          <t>유구읍</t>
        </is>
      </c>
    </row>
    <row r="13090">
      <c r="A13090" s="3" t="n">
        <v>2025</v>
      </c>
      <c r="B13090" s="4" t="n">
        <v>20240</v>
      </c>
      <c r="C13090" s="4" t="n">
        <v>473</v>
      </c>
      <c r="D13090" s="4" t="n">
        <v>143.0825</v>
      </c>
      <c r="E13090" s="5" t="n">
        <v>141.5</v>
      </c>
      <c r="F13090" s="3" t="inlineStr">
        <is>
          <t>유구읍</t>
        </is>
      </c>
      <c r="G13090" s="3" t="inlineStr">
        <is>
          <t>신달리</t>
        </is>
      </c>
      <c r="H13090" s="3" t="inlineStr">
        <is>
          <t>단독다가구</t>
        </is>
      </c>
      <c r="I13090" s="3" t="inlineStr">
        <is>
          <t>단독</t>
        </is>
      </c>
      <c r="J13090" s="3" t="inlineStr">
        <is>
          <t>유구읍</t>
        </is>
      </c>
    </row>
    <row r="13091">
      <c r="A13091" s="3" t="n">
        <v>2025</v>
      </c>
      <c r="B13091" s="4" t="n">
        <v>15825</v>
      </c>
      <c r="C13091" s="4" t="n">
        <v>223</v>
      </c>
      <c r="D13091" s="4" t="n">
        <v>67.4575</v>
      </c>
      <c r="E13091" s="5" t="n">
        <v>234.6</v>
      </c>
      <c r="F13091" s="3" t="inlineStr">
        <is>
          <t>유구읍</t>
        </is>
      </c>
      <c r="G13091" s="3" t="inlineStr">
        <is>
          <t>유구리</t>
        </is>
      </c>
      <c r="H13091" s="3" t="inlineStr">
        <is>
          <t>단독다가구</t>
        </is>
      </c>
      <c r="I13091" s="3" t="inlineStr">
        <is>
          <t>단독</t>
        </is>
      </c>
      <c r="J13091" s="3" t="inlineStr">
        <is>
          <t>유구읍</t>
        </is>
      </c>
    </row>
    <row r="13092">
      <c r="A13092" s="3" t="n">
        <v>2025</v>
      </c>
      <c r="B13092" s="4" t="n">
        <v>25000</v>
      </c>
      <c r="C13092" s="4" t="n">
        <v>962</v>
      </c>
      <c r="D13092" s="4" t="n">
        <v>291.005</v>
      </c>
      <c r="E13092" s="5" t="n">
        <v>85.90000000000001</v>
      </c>
      <c r="F13092" s="3" t="inlineStr">
        <is>
          <t>유구읍</t>
        </is>
      </c>
      <c r="G13092" s="3" t="inlineStr">
        <is>
          <t>추계리</t>
        </is>
      </c>
      <c r="H13092" s="3" t="inlineStr">
        <is>
          <t>단독다가구</t>
        </is>
      </c>
      <c r="I13092" s="3" t="inlineStr">
        <is>
          <t>단독</t>
        </is>
      </c>
      <c r="J13092" s="3" t="inlineStr">
        <is>
          <t>유구읍</t>
        </is>
      </c>
    </row>
    <row r="13093">
      <c r="A13093" s="3" t="n">
        <v>2025</v>
      </c>
      <c r="B13093" s="4" t="n">
        <v>3300</v>
      </c>
      <c r="C13093" s="4" t="n">
        <v>202</v>
      </c>
      <c r="D13093" s="4" t="n">
        <v>61.105</v>
      </c>
      <c r="E13093" s="5" t="n">
        <v>54</v>
      </c>
      <c r="F13093" s="3" t="inlineStr">
        <is>
          <t>유구읍</t>
        </is>
      </c>
      <c r="G13093" s="3" t="inlineStr">
        <is>
          <t>석남리</t>
        </is>
      </c>
      <c r="H13093" s="3" t="inlineStr">
        <is>
          <t>단독다가구</t>
        </is>
      </c>
      <c r="I13093" s="3" t="inlineStr">
        <is>
          <t>단독</t>
        </is>
      </c>
      <c r="J13093" s="3" t="inlineStr">
        <is>
          <t>유구읍</t>
        </is>
      </c>
    </row>
    <row r="13094">
      <c r="A13094" s="3" t="n">
        <v>2022</v>
      </c>
      <c r="B13094" s="4" t="n">
        <v>29367</v>
      </c>
      <c r="C13094" s="4" t="n">
        <v>670</v>
      </c>
      <c r="D13094" s="4" t="n">
        <v>202.675</v>
      </c>
      <c r="E13094" s="5" t="n">
        <v>144.9</v>
      </c>
      <c r="F13094" s="3" t="inlineStr">
        <is>
          <t>유구읍</t>
        </is>
      </c>
      <c r="G13094" s="3" t="inlineStr">
        <is>
          <t>문금리</t>
        </is>
      </c>
      <c r="H13094" s="3" t="inlineStr">
        <is>
          <t>단독다가구</t>
        </is>
      </c>
      <c r="I13094" s="3" t="inlineStr">
        <is>
          <t>단독</t>
        </is>
      </c>
      <c r="J13094" s="3" t="inlineStr">
        <is>
          <t>유구읍</t>
        </is>
      </c>
    </row>
    <row r="13095">
      <c r="A13095" s="3" t="n">
        <v>2022</v>
      </c>
      <c r="B13095" s="4" t="n">
        <v>32000</v>
      </c>
      <c r="C13095" s="4" t="n">
        <v>990</v>
      </c>
      <c r="D13095" s="4" t="n">
        <v>299.475</v>
      </c>
      <c r="E13095" s="5" t="n">
        <v>106.9</v>
      </c>
      <c r="F13095" s="3" t="inlineStr">
        <is>
          <t>유구읍</t>
        </is>
      </c>
      <c r="G13095" s="3" t="inlineStr">
        <is>
          <t>문금리</t>
        </is>
      </c>
      <c r="H13095" s="3" t="inlineStr">
        <is>
          <t>단독다가구</t>
        </is>
      </c>
      <c r="I13095" s="3" t="inlineStr">
        <is>
          <t>단독</t>
        </is>
      </c>
      <c r="J13095" s="3" t="inlineStr">
        <is>
          <t>유구읍</t>
        </is>
      </c>
    </row>
    <row r="13096">
      <c r="A13096" s="3" t="n">
        <v>2022</v>
      </c>
      <c r="B13096" s="4" t="n">
        <v>5000</v>
      </c>
      <c r="C13096" s="4" t="n">
        <v>393</v>
      </c>
      <c r="D13096" s="4" t="n">
        <v>118.8825</v>
      </c>
      <c r="E13096" s="5" t="n">
        <v>42.1</v>
      </c>
      <c r="F13096" s="3" t="inlineStr">
        <is>
          <t>유구읍</t>
        </is>
      </c>
      <c r="G13096" s="3" t="inlineStr">
        <is>
          <t>만천리</t>
        </is>
      </c>
      <c r="H13096" s="3" t="inlineStr">
        <is>
          <t>단독다가구</t>
        </is>
      </c>
      <c r="I13096" s="3" t="inlineStr">
        <is>
          <t>단독</t>
        </is>
      </c>
      <c r="J13096" s="3" t="inlineStr">
        <is>
          <t>유구읍</t>
        </is>
      </c>
    </row>
    <row r="13097">
      <c r="A13097" s="3" t="n">
        <v>2022</v>
      </c>
      <c r="B13097" s="4" t="n">
        <v>29500</v>
      </c>
      <c r="C13097" s="4" t="n">
        <v>828.28</v>
      </c>
      <c r="D13097" s="4" t="n">
        <v>250.5547</v>
      </c>
      <c r="E13097" s="5" t="n">
        <v>117.7</v>
      </c>
      <c r="F13097" s="3" t="inlineStr">
        <is>
          <t>유구읍</t>
        </is>
      </c>
      <c r="G13097" s="3" t="inlineStr">
        <is>
          <t>문금리</t>
        </is>
      </c>
      <c r="H13097" s="3" t="inlineStr">
        <is>
          <t>단독다가구</t>
        </is>
      </c>
      <c r="I13097" s="3" t="inlineStr">
        <is>
          <t>단독</t>
        </is>
      </c>
      <c r="J13097" s="3" t="inlineStr">
        <is>
          <t>유구읍</t>
        </is>
      </c>
    </row>
    <row r="13098">
      <c r="A13098" s="3" t="n">
        <v>2022</v>
      </c>
      <c r="B13098" s="4" t="n">
        <v>18260</v>
      </c>
      <c r="C13098" s="4" t="n">
        <v>864</v>
      </c>
      <c r="D13098" s="4" t="n">
        <v>261.36</v>
      </c>
      <c r="E13098" s="5" t="n">
        <v>69.90000000000001</v>
      </c>
      <c r="F13098" s="3" t="inlineStr">
        <is>
          <t>유구읍</t>
        </is>
      </c>
      <c r="G13098" s="3" t="inlineStr">
        <is>
          <t>추계리</t>
        </is>
      </c>
      <c r="H13098" s="3" t="inlineStr">
        <is>
          <t>단독다가구</t>
        </is>
      </c>
      <c r="I13098" s="3" t="inlineStr">
        <is>
          <t>단독</t>
        </is>
      </c>
      <c r="J13098" s="3" t="inlineStr">
        <is>
          <t>유구읍</t>
        </is>
      </c>
    </row>
    <row r="13099">
      <c r="A13099" s="3" t="n">
        <v>2022</v>
      </c>
      <c r="B13099" s="4" t="n">
        <v>18500</v>
      </c>
      <c r="C13099" s="4" t="n">
        <v>864</v>
      </c>
      <c r="D13099" s="4" t="n">
        <v>261.36</v>
      </c>
      <c r="E13099" s="5" t="n">
        <v>70.8</v>
      </c>
      <c r="F13099" s="3" t="inlineStr">
        <is>
          <t>유구읍</t>
        </is>
      </c>
      <c r="G13099" s="3" t="inlineStr">
        <is>
          <t>추계리</t>
        </is>
      </c>
      <c r="H13099" s="3" t="inlineStr">
        <is>
          <t>단독다가구</t>
        </is>
      </c>
      <c r="I13099" s="3" t="inlineStr">
        <is>
          <t>단독</t>
        </is>
      </c>
      <c r="J13099" s="3" t="inlineStr">
        <is>
          <t>유구읍</t>
        </is>
      </c>
    </row>
    <row r="13100">
      <c r="A13100" s="3" t="n">
        <v>2022</v>
      </c>
      <c r="B13100" s="4" t="n">
        <v>6000</v>
      </c>
      <c r="C13100" s="4" t="n">
        <v>506</v>
      </c>
      <c r="D13100" s="4" t="n">
        <v>153.065</v>
      </c>
      <c r="E13100" s="5" t="n">
        <v>39.2</v>
      </c>
      <c r="F13100" s="3" t="inlineStr">
        <is>
          <t>유구읍</t>
        </is>
      </c>
      <c r="G13100" s="3" t="inlineStr">
        <is>
          <t>덕곡리</t>
        </is>
      </c>
      <c r="H13100" s="3" t="inlineStr">
        <is>
          <t>단독다가구</t>
        </is>
      </c>
      <c r="I13100" s="3" t="inlineStr">
        <is>
          <t>단독</t>
        </is>
      </c>
      <c r="J13100" s="3" t="inlineStr">
        <is>
          <t>유구읍</t>
        </is>
      </c>
    </row>
    <row r="13101">
      <c r="A13101" s="3" t="n">
        <v>2022</v>
      </c>
      <c r="B13101" s="4" t="n">
        <v>12300</v>
      </c>
      <c r="C13101" s="4" t="n">
        <v>571</v>
      </c>
      <c r="D13101" s="4" t="n">
        <v>172.7275</v>
      </c>
      <c r="E13101" s="5" t="n">
        <v>71.2</v>
      </c>
      <c r="F13101" s="3" t="inlineStr">
        <is>
          <t>유구읍</t>
        </is>
      </c>
      <c r="G13101" s="3" t="inlineStr">
        <is>
          <t>구계리</t>
        </is>
      </c>
      <c r="H13101" s="3" t="inlineStr">
        <is>
          <t>단독다가구</t>
        </is>
      </c>
      <c r="I13101" s="3" t="inlineStr">
        <is>
          <t>단독</t>
        </is>
      </c>
      <c r="J13101" s="3" t="inlineStr">
        <is>
          <t>유구읍</t>
        </is>
      </c>
    </row>
    <row r="13102">
      <c r="A13102" s="3" t="n">
        <v>2022</v>
      </c>
      <c r="B13102" s="4" t="n">
        <v>2250</v>
      </c>
      <c r="C13102" s="4" t="n">
        <v>166</v>
      </c>
      <c r="D13102" s="4" t="n">
        <v>50.215</v>
      </c>
      <c r="E13102" s="5" t="n">
        <v>44.8</v>
      </c>
      <c r="F13102" s="3" t="inlineStr">
        <is>
          <t>유구읍</t>
        </is>
      </c>
      <c r="G13102" s="3" t="inlineStr">
        <is>
          <t>녹천리</t>
        </is>
      </c>
      <c r="H13102" s="3" t="inlineStr">
        <is>
          <t>단독다가구</t>
        </is>
      </c>
      <c r="I13102" s="3" t="inlineStr">
        <is>
          <t>단독</t>
        </is>
      </c>
      <c r="J13102" s="3" t="inlineStr">
        <is>
          <t>유구읍</t>
        </is>
      </c>
    </row>
    <row r="13103">
      <c r="A13103" s="3" t="n">
        <v>2023</v>
      </c>
      <c r="B13103" s="4" t="n">
        <v>10500</v>
      </c>
      <c r="C13103" s="4" t="n">
        <v>473</v>
      </c>
      <c r="D13103" s="4" t="n">
        <v>143.0825</v>
      </c>
      <c r="E13103" s="5" t="n">
        <v>73.40000000000001</v>
      </c>
      <c r="F13103" s="3" t="inlineStr">
        <is>
          <t>유구읍</t>
        </is>
      </c>
      <c r="G13103" s="3" t="inlineStr">
        <is>
          <t>추계리</t>
        </is>
      </c>
      <c r="H13103" s="3" t="inlineStr">
        <is>
          <t>단독다가구</t>
        </is>
      </c>
      <c r="I13103" s="3" t="inlineStr">
        <is>
          <t>단독</t>
        </is>
      </c>
      <c r="J13103" s="3" t="inlineStr">
        <is>
          <t>유구읍</t>
        </is>
      </c>
    </row>
    <row r="13104">
      <c r="A13104" s="3" t="n">
        <v>2023</v>
      </c>
      <c r="B13104" s="4" t="n">
        <v>20000</v>
      </c>
      <c r="C13104" s="4" t="n">
        <v>1058</v>
      </c>
      <c r="D13104" s="4" t="n">
        <v>320.045</v>
      </c>
      <c r="E13104" s="5" t="n">
        <v>62.5</v>
      </c>
      <c r="F13104" s="3" t="inlineStr">
        <is>
          <t>유구읍</t>
        </is>
      </c>
      <c r="G13104" s="3" t="inlineStr">
        <is>
          <t>연종리</t>
        </is>
      </c>
      <c r="H13104" s="3" t="inlineStr">
        <is>
          <t>단독다가구</t>
        </is>
      </c>
      <c r="I13104" s="3" t="inlineStr">
        <is>
          <t>단독</t>
        </is>
      </c>
      <c r="J13104" s="3" t="inlineStr">
        <is>
          <t>유구읍</t>
        </is>
      </c>
    </row>
    <row r="13105">
      <c r="A13105" s="3" t="n">
        <v>2023</v>
      </c>
      <c r="B13105" s="4" t="n">
        <v>8200</v>
      </c>
      <c r="C13105" s="4" t="n">
        <v>426</v>
      </c>
      <c r="D13105" s="4" t="n">
        <v>128.865</v>
      </c>
      <c r="E13105" s="5" t="n">
        <v>63.6</v>
      </c>
      <c r="F13105" s="3" t="inlineStr">
        <is>
          <t>유구읍</t>
        </is>
      </c>
      <c r="G13105" s="3" t="inlineStr">
        <is>
          <t>구계리</t>
        </is>
      </c>
      <c r="H13105" s="3" t="inlineStr">
        <is>
          <t>단독다가구</t>
        </is>
      </c>
      <c r="I13105" s="3" t="inlineStr">
        <is>
          <t>단독</t>
        </is>
      </c>
      <c r="J13105" s="3" t="inlineStr">
        <is>
          <t>유구읍</t>
        </is>
      </c>
    </row>
    <row r="13106">
      <c r="A13106" s="3" t="n">
        <v>2023</v>
      </c>
      <c r="B13106" s="4" t="n">
        <v>19345</v>
      </c>
      <c r="C13106" s="4" t="n">
        <v>370</v>
      </c>
      <c r="D13106" s="4" t="n">
        <v>111.925</v>
      </c>
      <c r="E13106" s="5" t="n">
        <v>172.8</v>
      </c>
      <c r="F13106" s="3" t="inlineStr">
        <is>
          <t>유구읍</t>
        </is>
      </c>
      <c r="G13106" s="3" t="inlineStr">
        <is>
          <t>연종리</t>
        </is>
      </c>
      <c r="H13106" s="3" t="inlineStr">
        <is>
          <t>단독다가구</t>
        </is>
      </c>
      <c r="I13106" s="3" t="inlineStr">
        <is>
          <t>단독</t>
        </is>
      </c>
      <c r="J13106" s="3" t="inlineStr">
        <is>
          <t>유구읍</t>
        </is>
      </c>
    </row>
    <row r="13107">
      <c r="A13107" s="3" t="n">
        <v>2023</v>
      </c>
      <c r="B13107" s="4" t="n">
        <v>4300</v>
      </c>
      <c r="C13107" s="4" t="n">
        <v>82</v>
      </c>
      <c r="D13107" s="4" t="n">
        <v>24.805</v>
      </c>
      <c r="E13107" s="5" t="n">
        <v>173.4</v>
      </c>
      <c r="F13107" s="3" t="inlineStr">
        <is>
          <t>유구읍</t>
        </is>
      </c>
      <c r="G13107" s="3" t="inlineStr">
        <is>
          <t>녹천리</t>
        </is>
      </c>
      <c r="H13107" s="3" t="inlineStr">
        <is>
          <t>단독다가구</t>
        </is>
      </c>
      <c r="I13107" s="3" t="inlineStr">
        <is>
          <t>단독</t>
        </is>
      </c>
      <c r="J13107" s="3" t="inlineStr">
        <is>
          <t>유구읍</t>
        </is>
      </c>
    </row>
    <row r="13108">
      <c r="A13108" s="3" t="n">
        <v>2023</v>
      </c>
      <c r="B13108" s="4" t="n">
        <v>17900</v>
      </c>
      <c r="C13108" s="4" t="n">
        <v>727</v>
      </c>
      <c r="D13108" s="4" t="n">
        <v>219.9175</v>
      </c>
      <c r="E13108" s="5" t="n">
        <v>81.40000000000001</v>
      </c>
      <c r="F13108" s="3" t="inlineStr">
        <is>
          <t>유구읍</t>
        </is>
      </c>
      <c r="G13108" s="3" t="inlineStr">
        <is>
          <t>녹천리</t>
        </is>
      </c>
      <c r="H13108" s="3" t="inlineStr">
        <is>
          <t>단독다가구</t>
        </is>
      </c>
      <c r="I13108" s="3" t="inlineStr">
        <is>
          <t>단독</t>
        </is>
      </c>
      <c r="J13108" s="3" t="inlineStr">
        <is>
          <t>유구읍</t>
        </is>
      </c>
    </row>
    <row r="13109">
      <c r="A13109" s="3" t="n">
        <v>2023</v>
      </c>
      <c r="B13109" s="4" t="n">
        <v>19500</v>
      </c>
      <c r="C13109" s="4" t="n">
        <v>370</v>
      </c>
      <c r="D13109" s="4" t="n">
        <v>111.925</v>
      </c>
      <c r="E13109" s="5" t="n">
        <v>174.2</v>
      </c>
      <c r="F13109" s="3" t="inlineStr">
        <is>
          <t>유구읍</t>
        </is>
      </c>
      <c r="G13109" s="3" t="inlineStr">
        <is>
          <t>연종리</t>
        </is>
      </c>
      <c r="H13109" s="3" t="inlineStr">
        <is>
          <t>단독다가구</t>
        </is>
      </c>
      <c r="I13109" s="3" t="inlineStr">
        <is>
          <t>단독</t>
        </is>
      </c>
      <c r="J13109" s="3" t="inlineStr">
        <is>
          <t>유구읍</t>
        </is>
      </c>
    </row>
    <row r="13110">
      <c r="A13110" s="3" t="n">
        <v>2023</v>
      </c>
      <c r="B13110" s="4" t="n">
        <v>4000</v>
      </c>
      <c r="C13110" s="4" t="n">
        <v>274</v>
      </c>
      <c r="D13110" s="4" t="n">
        <v>82.88499999999999</v>
      </c>
      <c r="E13110" s="5" t="n">
        <v>48.3</v>
      </c>
      <c r="F13110" s="3" t="inlineStr">
        <is>
          <t>유구읍</t>
        </is>
      </c>
      <c r="G13110" s="3" t="inlineStr">
        <is>
          <t>명곡리</t>
        </is>
      </c>
      <c r="H13110" s="3" t="inlineStr">
        <is>
          <t>단독다가구</t>
        </is>
      </c>
      <c r="I13110" s="3" t="inlineStr">
        <is>
          <t>단독</t>
        </is>
      </c>
      <c r="J13110" s="3" t="inlineStr">
        <is>
          <t>유구읍</t>
        </is>
      </c>
    </row>
    <row r="13111">
      <c r="A13111" s="3" t="n">
        <v>2026</v>
      </c>
      <c r="B13111" s="4" t="n">
        <v>7000</v>
      </c>
      <c r="C13111" s="4" t="n">
        <v>166</v>
      </c>
      <c r="D13111" s="4" t="n">
        <v>50.215</v>
      </c>
      <c r="E13111" s="5" t="n">
        <v>139.4</v>
      </c>
      <c r="F13111" s="3" t="inlineStr">
        <is>
          <t>유구읍</t>
        </is>
      </c>
      <c r="G13111" s="3" t="inlineStr">
        <is>
          <t>녹천리</t>
        </is>
      </c>
      <c r="H13111" s="3" t="inlineStr">
        <is>
          <t>단독다가구</t>
        </is>
      </c>
      <c r="I13111" s="3" t="inlineStr">
        <is>
          <t>단독</t>
        </is>
      </c>
      <c r="J13111" s="3" t="inlineStr">
        <is>
          <t>유구읍</t>
        </is>
      </c>
    </row>
    <row r="13112">
      <c r="A13112" s="3" t="n">
        <v>2026</v>
      </c>
      <c r="B13112" s="4" t="n">
        <v>11000</v>
      </c>
      <c r="C13112" s="4" t="n">
        <v>253</v>
      </c>
      <c r="D13112" s="4" t="n">
        <v>76.5325</v>
      </c>
      <c r="E13112" s="5" t="n">
        <v>143.7</v>
      </c>
      <c r="F13112" s="3" t="inlineStr">
        <is>
          <t>유구읍</t>
        </is>
      </c>
      <c r="G13112" s="3" t="inlineStr">
        <is>
          <t>석남리</t>
        </is>
      </c>
      <c r="H13112" s="3" t="inlineStr">
        <is>
          <t>단독다가구</t>
        </is>
      </c>
      <c r="I13112" s="3" t="inlineStr">
        <is>
          <t>단독</t>
        </is>
      </c>
      <c r="J13112" s="3" t="inlineStr">
        <is>
          <t>유구읍</t>
        </is>
      </c>
    </row>
    <row r="13113">
      <c r="A13113" s="3" t="n">
        <v>2022</v>
      </c>
      <c r="B13113" s="4" t="n">
        <v>22680</v>
      </c>
      <c r="C13113" s="4" t="n">
        <v>182</v>
      </c>
      <c r="D13113" s="4" t="n">
        <v>55.055</v>
      </c>
      <c r="E13113" s="5" t="n">
        <v>412</v>
      </c>
      <c r="F13113" s="3" t="inlineStr">
        <is>
          <t>강내면</t>
        </is>
      </c>
      <c r="G13113" s="3" t="inlineStr">
        <is>
          <t>사인리</t>
        </is>
      </c>
      <c r="H13113" s="3" t="inlineStr">
        <is>
          <t>단독다가구</t>
        </is>
      </c>
      <c r="I13113" s="3" t="inlineStr">
        <is>
          <t>단독</t>
        </is>
      </c>
      <c r="J13113" s="3" t="inlineStr">
        <is>
          <t>강내면</t>
        </is>
      </c>
    </row>
    <row r="13114">
      <c r="A13114" s="3" t="n">
        <v>2022</v>
      </c>
      <c r="B13114" s="4" t="n">
        <v>46800</v>
      </c>
      <c r="C13114" s="4" t="n">
        <v>396</v>
      </c>
      <c r="D13114" s="4" t="n">
        <v>119.79</v>
      </c>
      <c r="E13114" s="5" t="n">
        <v>390.7</v>
      </c>
      <c r="F13114" s="3" t="inlineStr">
        <is>
          <t>오송읍</t>
        </is>
      </c>
      <c r="G13114" s="3" t="inlineStr">
        <is>
          <t>궁평리</t>
        </is>
      </c>
      <c r="H13114" s="3" t="inlineStr">
        <is>
          <t>단독다가구</t>
        </is>
      </c>
      <c r="I13114" s="3" t="inlineStr">
        <is>
          <t>단독</t>
        </is>
      </c>
      <c r="J13114" s="3" t="inlineStr">
        <is>
          <t>오송읍</t>
        </is>
      </c>
    </row>
    <row r="13115">
      <c r="A13115" s="3" t="n">
        <v>2022</v>
      </c>
      <c r="B13115" s="4" t="n">
        <v>12000</v>
      </c>
      <c r="C13115" s="4" t="n">
        <v>160</v>
      </c>
      <c r="D13115" s="4" t="n">
        <v>48.4</v>
      </c>
      <c r="E13115" s="5" t="n">
        <v>247.9</v>
      </c>
      <c r="F13115" s="3" t="inlineStr">
        <is>
          <t>오송읍</t>
        </is>
      </c>
      <c r="G13115" s="3" t="inlineStr">
        <is>
          <t>오송리</t>
        </is>
      </c>
      <c r="H13115" s="3" t="inlineStr">
        <is>
          <t>단독다가구</t>
        </is>
      </c>
      <c r="I13115" s="3" t="inlineStr">
        <is>
          <t>단독</t>
        </is>
      </c>
      <c r="J13115" s="3" t="inlineStr">
        <is>
          <t>오송읍</t>
        </is>
      </c>
    </row>
    <row r="13116">
      <c r="A13116" s="3" t="n">
        <v>2022</v>
      </c>
      <c r="B13116" s="4" t="n">
        <v>36500</v>
      </c>
      <c r="C13116" s="4" t="n">
        <v>202</v>
      </c>
      <c r="D13116" s="4" t="n">
        <v>61.105</v>
      </c>
      <c r="E13116" s="5" t="n">
        <v>597.3</v>
      </c>
      <c r="F13116" s="3" t="inlineStr">
        <is>
          <t>오송읍</t>
        </is>
      </c>
      <c r="G13116" s="3" t="inlineStr">
        <is>
          <t>궁평리</t>
        </is>
      </c>
      <c r="H13116" s="3" t="inlineStr">
        <is>
          <t>단독다가구</t>
        </is>
      </c>
      <c r="I13116" s="3" t="inlineStr">
        <is>
          <t>단독</t>
        </is>
      </c>
      <c r="J13116" s="3" t="inlineStr">
        <is>
          <t>오송읍</t>
        </is>
      </c>
    </row>
    <row r="13117">
      <c r="A13117" s="3" t="n">
        <v>2022</v>
      </c>
      <c r="B13117" s="4" t="n">
        <v>27000</v>
      </c>
      <c r="C13117" s="4" t="n">
        <v>237</v>
      </c>
      <c r="D13117" s="4" t="n">
        <v>71.6925</v>
      </c>
      <c r="E13117" s="5" t="n">
        <v>376.6</v>
      </c>
      <c r="F13117" s="3" t="inlineStr">
        <is>
          <t>오송읍</t>
        </is>
      </c>
      <c r="G13117" s="3" t="inlineStr">
        <is>
          <t>오송리</t>
        </is>
      </c>
      <c r="H13117" s="3" t="inlineStr">
        <is>
          <t>단독다가구</t>
        </is>
      </c>
      <c r="I13117" s="3" t="inlineStr">
        <is>
          <t>단독</t>
        </is>
      </c>
      <c r="J13117" s="3" t="inlineStr">
        <is>
          <t>오송읍</t>
        </is>
      </c>
    </row>
    <row r="13118">
      <c r="A13118" s="3" t="n">
        <v>2022</v>
      </c>
      <c r="B13118" s="4" t="n">
        <v>6680</v>
      </c>
      <c r="C13118" s="4" t="n">
        <v>69</v>
      </c>
      <c r="D13118" s="4" t="n">
        <v>20.8725</v>
      </c>
      <c r="E13118" s="5" t="n">
        <v>320</v>
      </c>
      <c r="F13118" s="3" t="inlineStr">
        <is>
          <t>오송읍</t>
        </is>
      </c>
      <c r="G13118" s="3" t="inlineStr">
        <is>
          <t>오송리</t>
        </is>
      </c>
      <c r="H13118" s="3" t="inlineStr">
        <is>
          <t>단독다가구</t>
        </is>
      </c>
      <c r="I13118" s="3" t="inlineStr">
        <is>
          <t>단독</t>
        </is>
      </c>
      <c r="J13118" s="3" t="inlineStr">
        <is>
          <t>오송읍</t>
        </is>
      </c>
    </row>
    <row r="13119">
      <c r="A13119" s="3" t="n">
        <v>2022</v>
      </c>
      <c r="B13119" s="4" t="n">
        <v>62500</v>
      </c>
      <c r="C13119" s="4" t="n">
        <v>283.2</v>
      </c>
      <c r="D13119" s="4" t="n">
        <v>85.66799999999999</v>
      </c>
      <c r="E13119" s="5" t="n">
        <v>729.6</v>
      </c>
      <c r="F13119" s="3" t="inlineStr">
        <is>
          <t>오송읍</t>
        </is>
      </c>
      <c r="G13119" s="3" t="inlineStr">
        <is>
          <t>만수리</t>
        </is>
      </c>
      <c r="H13119" s="3" t="inlineStr">
        <is>
          <t>단독다가구</t>
        </is>
      </c>
      <c r="I13119" s="3" t="inlineStr">
        <is>
          <t>다가구</t>
        </is>
      </c>
      <c r="J13119" s="3" t="inlineStr">
        <is>
          <t>오송읍</t>
        </is>
      </c>
    </row>
    <row r="13120">
      <c r="A13120" s="3" t="n">
        <v>2022</v>
      </c>
      <c r="B13120" s="4" t="n">
        <v>37700</v>
      </c>
      <c r="C13120" s="4" t="n">
        <v>302</v>
      </c>
      <c r="D13120" s="4" t="n">
        <v>91.355</v>
      </c>
      <c r="E13120" s="5" t="n">
        <v>412.7</v>
      </c>
      <c r="F13120" s="3" t="inlineStr">
        <is>
          <t>오송읍</t>
        </is>
      </c>
      <c r="G13120" s="3" t="inlineStr">
        <is>
          <t>궁평리</t>
        </is>
      </c>
      <c r="H13120" s="3" t="inlineStr">
        <is>
          <t>단독다가구</t>
        </is>
      </c>
      <c r="I13120" s="3" t="inlineStr">
        <is>
          <t>단독</t>
        </is>
      </c>
      <c r="J13120" s="3" t="inlineStr">
        <is>
          <t>오송읍</t>
        </is>
      </c>
    </row>
    <row r="13121">
      <c r="A13121" s="3" t="n">
        <v>2022</v>
      </c>
      <c r="B13121" s="4" t="n">
        <v>72000</v>
      </c>
      <c r="C13121" s="4" t="n">
        <v>274.9</v>
      </c>
      <c r="D13121" s="4" t="n">
        <v>83.15724999999999</v>
      </c>
      <c r="E13121" s="5" t="n">
        <v>865.8</v>
      </c>
      <c r="F13121" s="3" t="inlineStr">
        <is>
          <t>오송읍</t>
        </is>
      </c>
      <c r="G13121" s="3" t="inlineStr">
        <is>
          <t>연제리</t>
        </is>
      </c>
      <c r="H13121" s="3" t="inlineStr">
        <is>
          <t>단독다가구</t>
        </is>
      </c>
      <c r="I13121" s="3" t="inlineStr">
        <is>
          <t>다가구</t>
        </is>
      </c>
      <c r="J13121" s="3" t="inlineStr">
        <is>
          <t>오송읍</t>
        </is>
      </c>
    </row>
    <row r="13122">
      <c r="A13122" s="3" t="n">
        <v>2022</v>
      </c>
      <c r="B13122" s="4" t="n">
        <v>73500</v>
      </c>
      <c r="C13122" s="4" t="n">
        <v>255.4</v>
      </c>
      <c r="D13122" s="4" t="n">
        <v>77.2585</v>
      </c>
      <c r="E13122" s="5" t="n">
        <v>951.4</v>
      </c>
      <c r="F13122" s="3" t="inlineStr">
        <is>
          <t>오송읍</t>
        </is>
      </c>
      <c r="G13122" s="3" t="inlineStr">
        <is>
          <t>만수리</t>
        </is>
      </c>
      <c r="H13122" s="3" t="inlineStr">
        <is>
          <t>단독다가구</t>
        </is>
      </c>
      <c r="I13122" s="3" t="inlineStr">
        <is>
          <t>다가구</t>
        </is>
      </c>
      <c r="J13122" s="3" t="inlineStr">
        <is>
          <t>오송읍</t>
        </is>
      </c>
    </row>
    <row r="13123">
      <c r="A13123" s="3" t="n">
        <v>2022</v>
      </c>
      <c r="B13123" s="4" t="n">
        <v>35700</v>
      </c>
      <c r="C13123" s="4" t="n">
        <v>302</v>
      </c>
      <c r="D13123" s="4" t="n">
        <v>91.355</v>
      </c>
      <c r="E13123" s="5" t="n">
        <v>390.8</v>
      </c>
      <c r="F13123" s="3" t="inlineStr">
        <is>
          <t>오송읍</t>
        </is>
      </c>
      <c r="G13123" s="3" t="inlineStr">
        <is>
          <t>궁평리</t>
        </is>
      </c>
      <c r="H13123" s="3" t="inlineStr">
        <is>
          <t>단독다가구</t>
        </is>
      </c>
      <c r="I13123" s="3" t="inlineStr">
        <is>
          <t>단독</t>
        </is>
      </c>
      <c r="J13123" s="3" t="inlineStr">
        <is>
          <t>오송읍</t>
        </is>
      </c>
    </row>
    <row r="13124">
      <c r="A13124" s="3" t="n">
        <v>2024</v>
      </c>
      <c r="B13124" s="4" t="n">
        <v>72000</v>
      </c>
      <c r="C13124" s="4" t="n">
        <v>206</v>
      </c>
      <c r="D13124" s="4" t="n">
        <v>62.315</v>
      </c>
      <c r="E13124" s="5" t="n">
        <v>1155.4</v>
      </c>
      <c r="F13124" s="3" t="inlineStr">
        <is>
          <t>오송읍</t>
        </is>
      </c>
      <c r="G13124" s="3" t="inlineStr">
        <is>
          <t>오송리</t>
        </is>
      </c>
      <c r="H13124" s="3" t="inlineStr">
        <is>
          <t>단독다가구</t>
        </is>
      </c>
      <c r="I13124" s="3" t="inlineStr">
        <is>
          <t>단독</t>
        </is>
      </c>
      <c r="J13124" s="3" t="inlineStr">
        <is>
          <t>오송읍</t>
        </is>
      </c>
    </row>
    <row r="13125">
      <c r="A13125" s="3" t="n">
        <v>2024</v>
      </c>
      <c r="B13125" s="4" t="n">
        <v>79000</v>
      </c>
      <c r="C13125" s="4" t="n">
        <v>280.4</v>
      </c>
      <c r="D13125" s="4" t="n">
        <v>84.82099999999998</v>
      </c>
      <c r="E13125" s="5" t="n">
        <v>931.4</v>
      </c>
      <c r="F13125" s="3" t="inlineStr">
        <is>
          <t>오송읍</t>
        </is>
      </c>
      <c r="G13125" s="3" t="inlineStr">
        <is>
          <t>만수리</t>
        </is>
      </c>
      <c r="H13125" s="3" t="inlineStr">
        <is>
          <t>단독다가구</t>
        </is>
      </c>
      <c r="I13125" s="3" t="inlineStr">
        <is>
          <t>다가구</t>
        </is>
      </c>
      <c r="J13125" s="3" t="inlineStr">
        <is>
          <t>오송읍</t>
        </is>
      </c>
    </row>
    <row r="13126">
      <c r="A13126" s="3" t="n">
        <v>2024</v>
      </c>
      <c r="B13126" s="4" t="n">
        <v>22382</v>
      </c>
      <c r="C13126" s="4" t="n">
        <v>1322</v>
      </c>
      <c r="D13126" s="4" t="n">
        <v>399.905</v>
      </c>
      <c r="E13126" s="5" t="n">
        <v>56</v>
      </c>
      <c r="F13126" s="3" t="inlineStr">
        <is>
          <t>강내면</t>
        </is>
      </c>
      <c r="G13126" s="3" t="inlineStr">
        <is>
          <t>산단리</t>
        </is>
      </c>
      <c r="H13126" s="3" t="inlineStr">
        <is>
          <t>단독다가구</t>
        </is>
      </c>
      <c r="I13126" s="3" t="inlineStr">
        <is>
          <t>단독</t>
        </is>
      </c>
      <c r="J13126" s="3" t="inlineStr">
        <is>
          <t>강내면</t>
        </is>
      </c>
    </row>
    <row r="13127">
      <c r="A13127" s="3" t="n">
        <v>2024</v>
      </c>
      <c r="B13127" s="4" t="n">
        <v>14850</v>
      </c>
      <c r="C13127" s="4" t="n">
        <v>162</v>
      </c>
      <c r="D13127" s="4" t="n">
        <v>49.005</v>
      </c>
      <c r="E13127" s="5" t="n">
        <v>303</v>
      </c>
      <c r="F13127" s="3" t="inlineStr">
        <is>
          <t>오송읍</t>
        </is>
      </c>
      <c r="G13127" s="3" t="inlineStr">
        <is>
          <t>오송리</t>
        </is>
      </c>
      <c r="H13127" s="3" t="inlineStr">
        <is>
          <t>단독다가구</t>
        </is>
      </c>
      <c r="I13127" s="3" t="inlineStr">
        <is>
          <t>단독</t>
        </is>
      </c>
      <c r="J13127" s="3" t="inlineStr">
        <is>
          <t>오송읍</t>
        </is>
      </c>
    </row>
    <row r="13128">
      <c r="A13128" s="3" t="n">
        <v>2024</v>
      </c>
      <c r="B13128" s="4" t="n">
        <v>62000</v>
      </c>
      <c r="C13128" s="4" t="n">
        <v>251.8</v>
      </c>
      <c r="D13128" s="4" t="n">
        <v>76.1695</v>
      </c>
      <c r="E13128" s="5" t="n">
        <v>814</v>
      </c>
      <c r="F13128" s="3" t="inlineStr">
        <is>
          <t>오송읍</t>
        </is>
      </c>
      <c r="G13128" s="3" t="inlineStr">
        <is>
          <t>연제리</t>
        </is>
      </c>
      <c r="H13128" s="3" t="inlineStr">
        <is>
          <t>단독다가구</t>
        </is>
      </c>
      <c r="I13128" s="3" t="inlineStr">
        <is>
          <t>다가구</t>
        </is>
      </c>
      <c r="J13128" s="3" t="inlineStr">
        <is>
          <t>오송읍</t>
        </is>
      </c>
    </row>
    <row r="13129">
      <c r="A13129" s="3" t="n">
        <v>2024</v>
      </c>
      <c r="B13129" s="4" t="n">
        <v>7500</v>
      </c>
      <c r="C13129" s="4" t="n">
        <v>244</v>
      </c>
      <c r="D13129" s="4" t="n">
        <v>73.81</v>
      </c>
      <c r="E13129" s="5" t="n">
        <v>101.6</v>
      </c>
      <c r="F13129" s="3" t="inlineStr">
        <is>
          <t>강내면</t>
        </is>
      </c>
      <c r="G13129" s="3" t="inlineStr">
        <is>
          <t>학천리</t>
        </is>
      </c>
      <c r="H13129" s="3" t="inlineStr">
        <is>
          <t>단독다가구</t>
        </is>
      </c>
      <c r="I13129" s="3" t="inlineStr">
        <is>
          <t>단독</t>
        </is>
      </c>
      <c r="J13129" s="3" t="inlineStr">
        <is>
          <t>강내면</t>
        </is>
      </c>
    </row>
    <row r="13130">
      <c r="A13130" s="3" t="n">
        <v>2024</v>
      </c>
      <c r="B13130" s="4" t="n">
        <v>89100</v>
      </c>
      <c r="C13130" s="4" t="n">
        <v>609</v>
      </c>
      <c r="D13130" s="4" t="n">
        <v>184.2225</v>
      </c>
      <c r="E13130" s="5" t="n">
        <v>483.7</v>
      </c>
      <c r="F13130" s="3" t="inlineStr">
        <is>
          <t>강내면</t>
        </is>
      </c>
      <c r="G13130" s="3" t="inlineStr">
        <is>
          <t>월탄리</t>
        </is>
      </c>
      <c r="H13130" s="3" t="inlineStr">
        <is>
          <t>단독다가구</t>
        </is>
      </c>
      <c r="I13130" s="3" t="inlineStr">
        <is>
          <t>단독</t>
        </is>
      </c>
      <c r="J13130" s="3" t="inlineStr">
        <is>
          <t>강내면</t>
        </is>
      </c>
    </row>
    <row r="13131">
      <c r="A13131" s="3" t="n">
        <v>2024</v>
      </c>
      <c r="B13131" s="4" t="n">
        <v>15169</v>
      </c>
      <c r="C13131" s="4" t="n">
        <v>896</v>
      </c>
      <c r="D13131" s="4" t="n">
        <v>271.04</v>
      </c>
      <c r="E13131" s="5" t="n">
        <v>56</v>
      </c>
      <c r="F13131" s="3" t="inlineStr">
        <is>
          <t>강내면</t>
        </is>
      </c>
      <c r="G13131" s="3" t="inlineStr">
        <is>
          <t>산단리</t>
        </is>
      </c>
      <c r="H13131" s="3" t="inlineStr">
        <is>
          <t>단독다가구</t>
        </is>
      </c>
      <c r="I13131" s="3" t="inlineStr">
        <is>
          <t>단독</t>
        </is>
      </c>
      <c r="J13131" s="3" t="inlineStr">
        <is>
          <t>강내면</t>
        </is>
      </c>
    </row>
    <row r="13132">
      <c r="A13132" s="3" t="n">
        <v>2024</v>
      </c>
      <c r="B13132" s="4" t="n">
        <v>30000</v>
      </c>
      <c r="C13132" s="4" t="n">
        <v>433</v>
      </c>
      <c r="D13132" s="4" t="n">
        <v>130.9825</v>
      </c>
      <c r="E13132" s="5" t="n">
        <v>229</v>
      </c>
      <c r="F13132" s="3" t="inlineStr">
        <is>
          <t>오송읍</t>
        </is>
      </c>
      <c r="G13132" s="3" t="inlineStr">
        <is>
          <t>궁평리</t>
        </is>
      </c>
      <c r="H13132" s="3" t="inlineStr">
        <is>
          <t>단독다가구</t>
        </is>
      </c>
      <c r="I13132" s="3" t="inlineStr">
        <is>
          <t>단독</t>
        </is>
      </c>
      <c r="J13132" s="3" t="inlineStr">
        <is>
          <t>오송읍</t>
        </is>
      </c>
    </row>
    <row r="13133">
      <c r="A13133" s="3" t="n">
        <v>2025</v>
      </c>
      <c r="B13133" s="4" t="n">
        <v>46000</v>
      </c>
      <c r="C13133" s="4" t="n">
        <v>565</v>
      </c>
      <c r="D13133" s="4" t="n">
        <v>170.9125</v>
      </c>
      <c r="E13133" s="5" t="n">
        <v>269.1</v>
      </c>
      <c r="F13133" s="3" t="inlineStr">
        <is>
          <t>강내면</t>
        </is>
      </c>
      <c r="G13133" s="3" t="inlineStr">
        <is>
          <t>궁현리</t>
        </is>
      </c>
      <c r="H13133" s="3" t="inlineStr">
        <is>
          <t>단독다가구</t>
        </is>
      </c>
      <c r="I13133" s="3" t="inlineStr">
        <is>
          <t>단독</t>
        </is>
      </c>
      <c r="J13133" s="3" t="inlineStr">
        <is>
          <t>강내면</t>
        </is>
      </c>
    </row>
    <row r="13134">
      <c r="A13134" s="3" t="n">
        <v>2025</v>
      </c>
      <c r="B13134" s="4" t="n">
        <v>25089</v>
      </c>
      <c r="C13134" s="4" t="n">
        <v>388</v>
      </c>
      <c r="D13134" s="4" t="n">
        <v>117.37</v>
      </c>
      <c r="E13134" s="5" t="n">
        <v>213.8</v>
      </c>
      <c r="F13134" s="3" t="inlineStr">
        <is>
          <t>강내면</t>
        </is>
      </c>
      <c r="G13134" s="3" t="inlineStr">
        <is>
          <t>석화리</t>
        </is>
      </c>
      <c r="H13134" s="3" t="inlineStr">
        <is>
          <t>단독다가구</t>
        </is>
      </c>
      <c r="I13134" s="3" t="inlineStr">
        <is>
          <t>단독</t>
        </is>
      </c>
      <c r="J13134" s="3" t="inlineStr">
        <is>
          <t>강내면</t>
        </is>
      </c>
    </row>
    <row r="13135">
      <c r="A13135" s="3" t="n">
        <v>2025</v>
      </c>
      <c r="B13135" s="4" t="n">
        <v>13000</v>
      </c>
      <c r="C13135" s="4" t="n">
        <v>284</v>
      </c>
      <c r="D13135" s="4" t="n">
        <v>85.91</v>
      </c>
      <c r="E13135" s="5" t="n">
        <v>151.3</v>
      </c>
      <c r="F13135" s="3" t="inlineStr">
        <is>
          <t>오송읍</t>
        </is>
      </c>
      <c r="G13135" s="3" t="inlineStr">
        <is>
          <t>서평리</t>
        </is>
      </c>
      <c r="H13135" s="3" t="inlineStr">
        <is>
          <t>단독다가구</t>
        </is>
      </c>
      <c r="I13135" s="3" t="inlineStr">
        <is>
          <t>단독</t>
        </is>
      </c>
      <c r="J13135" s="3" t="inlineStr">
        <is>
          <t>오송읍</t>
        </is>
      </c>
    </row>
    <row r="13136">
      <c r="A13136" s="3" t="n">
        <v>2025</v>
      </c>
      <c r="B13136" s="4" t="n">
        <v>74000</v>
      </c>
      <c r="C13136" s="4" t="n">
        <v>299.6</v>
      </c>
      <c r="D13136" s="4" t="n">
        <v>90.629</v>
      </c>
      <c r="E13136" s="5" t="n">
        <v>816.5</v>
      </c>
      <c r="F13136" s="3" t="inlineStr">
        <is>
          <t>오송읍</t>
        </is>
      </c>
      <c r="G13136" s="3" t="inlineStr">
        <is>
          <t>만수리</t>
        </is>
      </c>
      <c r="H13136" s="3" t="inlineStr">
        <is>
          <t>단독다가구</t>
        </is>
      </c>
      <c r="I13136" s="3" t="inlineStr">
        <is>
          <t>다가구</t>
        </is>
      </c>
      <c r="J13136" s="3" t="inlineStr">
        <is>
          <t>오송읍</t>
        </is>
      </c>
    </row>
    <row r="13137">
      <c r="A13137" s="3" t="n">
        <v>2025</v>
      </c>
      <c r="B13137" s="4" t="n">
        <v>33500</v>
      </c>
      <c r="C13137" s="4" t="n">
        <v>400</v>
      </c>
      <c r="D13137" s="4" t="n">
        <v>121</v>
      </c>
      <c r="E13137" s="5" t="n">
        <v>276.9</v>
      </c>
      <c r="F13137" s="3" t="inlineStr">
        <is>
          <t>오송읍</t>
        </is>
      </c>
      <c r="G13137" s="3" t="inlineStr">
        <is>
          <t>궁평리</t>
        </is>
      </c>
      <c r="H13137" s="3" t="inlineStr">
        <is>
          <t>단독다가구</t>
        </is>
      </c>
      <c r="I13137" s="3" t="inlineStr">
        <is>
          <t>단독</t>
        </is>
      </c>
      <c r="J13137" s="3" t="inlineStr">
        <is>
          <t>오송읍</t>
        </is>
      </c>
    </row>
    <row r="13138">
      <c r="A13138" s="3" t="n">
        <v>2025</v>
      </c>
      <c r="B13138" s="4" t="n">
        <v>36000</v>
      </c>
      <c r="C13138" s="4" t="n">
        <v>299</v>
      </c>
      <c r="D13138" s="4" t="n">
        <v>90.44749999999999</v>
      </c>
      <c r="E13138" s="5" t="n">
        <v>398</v>
      </c>
      <c r="F13138" s="3" t="inlineStr">
        <is>
          <t>강내면</t>
        </is>
      </c>
      <c r="G13138" s="3" t="inlineStr">
        <is>
          <t>월탄리</t>
        </is>
      </c>
      <c r="H13138" s="3" t="inlineStr">
        <is>
          <t>단독다가구</t>
        </is>
      </c>
      <c r="I13138" s="3" t="inlineStr">
        <is>
          <t>다가구</t>
        </is>
      </c>
      <c r="J13138" s="3" t="inlineStr">
        <is>
          <t>강내면</t>
        </is>
      </c>
    </row>
    <row r="13139">
      <c r="A13139" s="3" t="n">
        <v>2025</v>
      </c>
      <c r="B13139" s="4" t="n">
        <v>68700</v>
      </c>
      <c r="C13139" s="4" t="n">
        <v>260</v>
      </c>
      <c r="D13139" s="4" t="n">
        <v>78.64999999999999</v>
      </c>
      <c r="E13139" s="5" t="n">
        <v>873.5</v>
      </c>
      <c r="F13139" s="3" t="inlineStr">
        <is>
          <t>오송읍</t>
        </is>
      </c>
      <c r="G13139" s="3" t="inlineStr">
        <is>
          <t>만수리</t>
        </is>
      </c>
      <c r="H13139" s="3" t="inlineStr">
        <is>
          <t>단독다가구</t>
        </is>
      </c>
      <c r="I13139" s="3" t="inlineStr">
        <is>
          <t>다가구</t>
        </is>
      </c>
      <c r="J13139" s="3" t="inlineStr">
        <is>
          <t>오송읍</t>
        </is>
      </c>
    </row>
    <row r="13140">
      <c r="A13140" s="3" t="n">
        <v>2025</v>
      </c>
      <c r="B13140" s="4" t="n">
        <v>68700</v>
      </c>
      <c r="C13140" s="4" t="n">
        <v>260</v>
      </c>
      <c r="D13140" s="4" t="n">
        <v>78.64999999999999</v>
      </c>
      <c r="E13140" s="5" t="n">
        <v>873.5</v>
      </c>
      <c r="F13140" s="3" t="inlineStr">
        <is>
          <t>오송읍</t>
        </is>
      </c>
      <c r="G13140" s="3" t="inlineStr">
        <is>
          <t>만수리</t>
        </is>
      </c>
      <c r="H13140" s="3" t="inlineStr">
        <is>
          <t>단독다가구</t>
        </is>
      </c>
      <c r="I13140" s="3" t="inlineStr">
        <is>
          <t>다가구</t>
        </is>
      </c>
      <c r="J13140" s="3" t="inlineStr">
        <is>
          <t>오송읍</t>
        </is>
      </c>
    </row>
    <row r="13141">
      <c r="A13141" s="3" t="n">
        <v>2025</v>
      </c>
      <c r="B13141" s="4" t="n">
        <v>17519</v>
      </c>
      <c r="C13141" s="4" t="n">
        <v>155</v>
      </c>
      <c r="D13141" s="4" t="n">
        <v>46.8875</v>
      </c>
      <c r="E13141" s="5" t="n">
        <v>373.6</v>
      </c>
      <c r="F13141" s="3" t="inlineStr">
        <is>
          <t>오송읍</t>
        </is>
      </c>
      <c r="G13141" s="3" t="inlineStr">
        <is>
          <t>연제리</t>
        </is>
      </c>
      <c r="H13141" s="3" t="inlineStr">
        <is>
          <t>단독다가구</t>
        </is>
      </c>
      <c r="I13141" s="3" t="inlineStr">
        <is>
          <t>단독</t>
        </is>
      </c>
      <c r="J13141" s="3" t="inlineStr">
        <is>
          <t>오송읍</t>
        </is>
      </c>
    </row>
    <row r="13142">
      <c r="A13142" s="3" t="n">
        <v>2025</v>
      </c>
      <c r="B13142" s="4" t="n">
        <v>29000</v>
      </c>
      <c r="C13142" s="4" t="n">
        <v>465</v>
      </c>
      <c r="D13142" s="4" t="n">
        <v>140.6625</v>
      </c>
      <c r="E13142" s="5" t="n">
        <v>206.2</v>
      </c>
      <c r="F13142" s="3" t="inlineStr">
        <is>
          <t>오송읍</t>
        </is>
      </c>
      <c r="G13142" s="3" t="inlineStr">
        <is>
          <t>쌍청리</t>
        </is>
      </c>
      <c r="H13142" s="3" t="inlineStr">
        <is>
          <t>단독다가구</t>
        </is>
      </c>
      <c r="I13142" s="3" t="inlineStr">
        <is>
          <t>단독</t>
        </is>
      </c>
      <c r="J13142" s="3" t="inlineStr">
        <is>
          <t>오송읍</t>
        </is>
      </c>
    </row>
    <row r="13143">
      <c r="A13143" s="3" t="n">
        <v>2026</v>
      </c>
      <c r="B13143" s="4" t="n">
        <v>71000</v>
      </c>
      <c r="C13143" s="4" t="n">
        <v>271</v>
      </c>
      <c r="D13143" s="4" t="n">
        <v>81.97749999999999</v>
      </c>
      <c r="E13143" s="5" t="n">
        <v>866.1</v>
      </c>
      <c r="F13143" s="3" t="inlineStr">
        <is>
          <t>오송읍</t>
        </is>
      </c>
      <c r="G13143" s="3" t="inlineStr">
        <is>
          <t>만수리</t>
        </is>
      </c>
      <c r="H13143" s="3" t="inlineStr">
        <is>
          <t>단독다가구</t>
        </is>
      </c>
      <c r="I13143" s="3" t="inlineStr">
        <is>
          <t>단독</t>
        </is>
      </c>
      <c r="J13143" s="3" t="inlineStr">
        <is>
          <t>오송읍</t>
        </is>
      </c>
    </row>
    <row r="13144">
      <c r="A13144" s="3" t="n">
        <v>2026</v>
      </c>
      <c r="B13144" s="4" t="n">
        <v>73000</v>
      </c>
      <c r="C13144" s="4" t="n">
        <v>244.1</v>
      </c>
      <c r="D13144" s="4" t="n">
        <v>73.84025</v>
      </c>
      <c r="E13144" s="5" t="n">
        <v>988.6</v>
      </c>
      <c r="F13144" s="3" t="inlineStr">
        <is>
          <t>오송읍</t>
        </is>
      </c>
      <c r="G13144" s="3" t="inlineStr">
        <is>
          <t>연제리</t>
        </is>
      </c>
      <c r="H13144" s="3" t="inlineStr">
        <is>
          <t>단독다가구</t>
        </is>
      </c>
      <c r="I13144" s="3" t="inlineStr">
        <is>
          <t>다가구</t>
        </is>
      </c>
      <c r="J13144" s="3" t="inlineStr">
        <is>
          <t>오송읍</t>
        </is>
      </c>
    </row>
    <row r="13145">
      <c r="A13145" s="3" t="n">
        <v>2026</v>
      </c>
      <c r="B13145" s="4" t="n">
        <v>54500</v>
      </c>
      <c r="C13145" s="4" t="n">
        <v>480</v>
      </c>
      <c r="D13145" s="4" t="n">
        <v>145.2</v>
      </c>
      <c r="E13145" s="5" t="n">
        <v>375.3</v>
      </c>
      <c r="F13145" s="3" t="inlineStr">
        <is>
          <t>오송읍</t>
        </is>
      </c>
      <c r="G13145" s="3" t="inlineStr">
        <is>
          <t>만수리</t>
        </is>
      </c>
      <c r="H13145" s="3" t="inlineStr">
        <is>
          <t>단독다가구</t>
        </is>
      </c>
      <c r="I13145" s="3" t="inlineStr">
        <is>
          <t>단독</t>
        </is>
      </c>
      <c r="J13145" s="3" t="inlineStr">
        <is>
          <t>오송읍</t>
        </is>
      </c>
    </row>
    <row r="13146">
      <c r="A13146" s="3" t="n">
        <v>2026</v>
      </c>
      <c r="B13146" s="4" t="n">
        <v>25000</v>
      </c>
      <c r="C13146" s="4" t="n">
        <v>760</v>
      </c>
      <c r="D13146" s="4" t="n">
        <v>229.9</v>
      </c>
      <c r="E13146" s="5" t="n">
        <v>108.7</v>
      </c>
      <c r="F13146" s="3" t="inlineStr">
        <is>
          <t>강내면</t>
        </is>
      </c>
      <c r="G13146" s="3" t="inlineStr">
        <is>
          <t>태성리</t>
        </is>
      </c>
      <c r="H13146" s="3" t="inlineStr">
        <is>
          <t>단독다가구</t>
        </is>
      </c>
      <c r="I13146" s="3" t="inlineStr">
        <is>
          <t>단독</t>
        </is>
      </c>
      <c r="J13146" s="3" t="inlineStr">
        <is>
          <t>강내면</t>
        </is>
      </c>
    </row>
    <row r="13147">
      <c r="A13147" s="3" t="n">
        <v>2026</v>
      </c>
      <c r="B13147" s="4" t="n">
        <v>14000</v>
      </c>
      <c r="C13147" s="4" t="n">
        <v>380</v>
      </c>
      <c r="D13147" s="4" t="n">
        <v>114.95</v>
      </c>
      <c r="E13147" s="5" t="n">
        <v>121.8</v>
      </c>
      <c r="F13147" s="3" t="inlineStr">
        <is>
          <t>오송읍</t>
        </is>
      </c>
      <c r="G13147" s="3" t="inlineStr">
        <is>
          <t>궁평리</t>
        </is>
      </c>
      <c r="H13147" s="3" t="inlineStr">
        <is>
          <t>단독다가구</t>
        </is>
      </c>
      <c r="I13147" s="3" t="inlineStr">
        <is>
          <t>단독</t>
        </is>
      </c>
      <c r="J13147" s="3" t="inlineStr">
        <is>
          <t>오송읍</t>
        </is>
      </c>
    </row>
    <row r="13148">
      <c r="A13148" s="3" t="n">
        <v>2026</v>
      </c>
      <c r="B13148" s="4" t="n">
        <v>171000</v>
      </c>
      <c r="C13148" s="4" t="n">
        <v>272.7</v>
      </c>
      <c r="D13148" s="4" t="n">
        <v>82.49175</v>
      </c>
      <c r="E13148" s="5" t="n">
        <v>2072.9</v>
      </c>
      <c r="F13148" s="3" t="inlineStr">
        <is>
          <t>오송읍</t>
        </is>
      </c>
      <c r="G13148" s="3" t="inlineStr">
        <is>
          <t>봉산리</t>
        </is>
      </c>
      <c r="H13148" s="3" t="inlineStr">
        <is>
          <t>단독다가구</t>
        </is>
      </c>
      <c r="I13148" s="3" t="inlineStr">
        <is>
          <t>다가구</t>
        </is>
      </c>
      <c r="J13148" s="3" t="inlineStr">
        <is>
          <t>오송읍</t>
        </is>
      </c>
    </row>
    <row r="13149">
      <c r="A13149" s="3" t="n">
        <v>2026</v>
      </c>
      <c r="B13149" s="4" t="n">
        <v>64000</v>
      </c>
      <c r="C13149" s="4" t="n">
        <v>239.8</v>
      </c>
      <c r="D13149" s="4" t="n">
        <v>72.5395</v>
      </c>
      <c r="E13149" s="5" t="n">
        <v>882.3</v>
      </c>
      <c r="F13149" s="3" t="inlineStr">
        <is>
          <t>오송읍</t>
        </is>
      </c>
      <c r="G13149" s="3" t="inlineStr">
        <is>
          <t>만수리</t>
        </is>
      </c>
      <c r="H13149" s="3" t="inlineStr">
        <is>
          <t>단독다가구</t>
        </is>
      </c>
      <c r="I13149" s="3" t="inlineStr">
        <is>
          <t>다가구</t>
        </is>
      </c>
      <c r="J13149" s="3" t="inlineStr">
        <is>
          <t>오송읍</t>
        </is>
      </c>
    </row>
    <row r="13150">
      <c r="A13150" s="3" t="n">
        <v>2025</v>
      </c>
      <c r="B13150" s="4" t="n">
        <v>5000</v>
      </c>
      <c r="C13150" s="4" t="n">
        <v>330</v>
      </c>
      <c r="D13150" s="4" t="n">
        <v>99.825</v>
      </c>
      <c r="E13150" s="5" t="n">
        <v>50.1</v>
      </c>
      <c r="F13150" s="3" t="inlineStr">
        <is>
          <t>유구읍</t>
        </is>
      </c>
      <c r="G13150" s="3" t="inlineStr">
        <is>
          <t>신영리</t>
        </is>
      </c>
      <c r="H13150" s="3" t="inlineStr">
        <is>
          <t>단독다가구</t>
        </is>
      </c>
      <c r="I13150" s="3" t="inlineStr">
        <is>
          <t>단독</t>
        </is>
      </c>
      <c r="J13150" s="3" t="inlineStr">
        <is>
          <t>유구읍</t>
        </is>
      </c>
    </row>
    <row r="13151">
      <c r="A13151" s="3" t="n">
        <v>2024</v>
      </c>
      <c r="B13151" s="4" t="n">
        <v>14000</v>
      </c>
      <c r="C13151" s="4" t="n">
        <v>109</v>
      </c>
      <c r="D13151" s="4" t="n">
        <v>32.9725</v>
      </c>
      <c r="E13151" s="5" t="n">
        <v>424.6</v>
      </c>
      <c r="F13151" s="3" t="inlineStr">
        <is>
          <t>오송읍</t>
        </is>
      </c>
      <c r="G13151" s="3" t="inlineStr">
        <is>
          <t>오송리</t>
        </is>
      </c>
      <c r="H13151" s="3" t="inlineStr">
        <is>
          <t>단독다가구</t>
        </is>
      </c>
      <c r="I13151" s="3" t="inlineStr">
        <is>
          <t>단독</t>
        </is>
      </c>
      <c r="J13151" s="3" t="inlineStr">
        <is>
          <t>오송읍</t>
        </is>
      </c>
    </row>
    <row r="13152">
      <c r="A13152" s="3" t="n">
        <v>2025</v>
      </c>
      <c r="B13152" s="4" t="n">
        <v>120000</v>
      </c>
      <c r="C13152" s="4" t="n">
        <v>240.2</v>
      </c>
      <c r="D13152" s="4" t="n">
        <v>72.6605</v>
      </c>
      <c r="E13152" s="5" t="n">
        <v>1651.5</v>
      </c>
      <c r="F13152" s="3" t="inlineStr">
        <is>
          <t>오송읍</t>
        </is>
      </c>
      <c r="G13152" s="3" t="inlineStr">
        <is>
          <t>봉산리</t>
        </is>
      </c>
      <c r="H13152" s="3" t="inlineStr">
        <is>
          <t>단독다가구</t>
        </is>
      </c>
      <c r="I13152" s="3" t="inlineStr">
        <is>
          <t>다가구</t>
        </is>
      </c>
      <c r="J13152" s="3" t="inlineStr">
        <is>
          <t>오송읍</t>
        </is>
      </c>
    </row>
    <row r="13153">
      <c r="A13153" s="3" t="n">
        <v>2025</v>
      </c>
      <c r="B13153" s="4" t="n">
        <v>53700</v>
      </c>
      <c r="C13153" s="4" t="n">
        <v>331</v>
      </c>
      <c r="D13153" s="4" t="n">
        <v>100.1275</v>
      </c>
      <c r="E13153" s="5" t="n">
        <v>536.3</v>
      </c>
      <c r="F13153" s="3" t="inlineStr">
        <is>
          <t>오송읍</t>
        </is>
      </c>
      <c r="G13153" s="3" t="inlineStr">
        <is>
          <t>오송리</t>
        </is>
      </c>
      <c r="H13153" s="3" t="inlineStr">
        <is>
          <t>단독다가구</t>
        </is>
      </c>
      <c r="I13153" s="3" t="inlineStr">
        <is>
          <t>단독</t>
        </is>
      </c>
      <c r="J13153" s="3" t="inlineStr">
        <is>
          <t>오송읍</t>
        </is>
      </c>
    </row>
    <row r="13154">
      <c r="A13154" s="3" t="n">
        <v>2025</v>
      </c>
      <c r="B13154" s="4" t="n">
        <v>134000</v>
      </c>
      <c r="C13154" s="4" t="n">
        <v>241</v>
      </c>
      <c r="D13154" s="4" t="n">
        <v>72.9025</v>
      </c>
      <c r="E13154" s="5" t="n">
        <v>1838.1</v>
      </c>
      <c r="F13154" s="3" t="inlineStr">
        <is>
          <t>오송읍</t>
        </is>
      </c>
      <c r="G13154" s="3" t="inlineStr">
        <is>
          <t>봉산리</t>
        </is>
      </c>
      <c r="H13154" s="3" t="inlineStr">
        <is>
          <t>단독다가구</t>
        </is>
      </c>
      <c r="I13154" s="3" t="inlineStr">
        <is>
          <t>단독</t>
        </is>
      </c>
      <c r="J13154" s="3" t="inlineStr">
        <is>
          <t>오송읍</t>
        </is>
      </c>
    </row>
    <row r="13155">
      <c r="A13155" s="3" t="n">
        <v>2025</v>
      </c>
      <c r="B13155" s="4" t="n">
        <v>67000</v>
      </c>
      <c r="C13155" s="4" t="n">
        <v>252.8</v>
      </c>
      <c r="D13155" s="4" t="n">
        <v>76.47199999999999</v>
      </c>
      <c r="E13155" s="5" t="n">
        <v>876.1</v>
      </c>
      <c r="F13155" s="3" t="inlineStr">
        <is>
          <t>오송읍</t>
        </is>
      </c>
      <c r="G13155" s="3" t="inlineStr">
        <is>
          <t>만수리</t>
        </is>
      </c>
      <c r="H13155" s="3" t="inlineStr">
        <is>
          <t>단독다가구</t>
        </is>
      </c>
      <c r="I13155" s="3" t="inlineStr">
        <is>
          <t>다가구</t>
        </is>
      </c>
      <c r="J13155" s="3" t="inlineStr">
        <is>
          <t>오송읍</t>
        </is>
      </c>
    </row>
    <row r="13156">
      <c r="A13156" s="3" t="n">
        <v>2022</v>
      </c>
      <c r="B13156" s="4" t="n">
        <v>28500</v>
      </c>
      <c r="C13156" s="4" t="n">
        <v>301</v>
      </c>
      <c r="D13156" s="4" t="n">
        <v>91.05249999999999</v>
      </c>
      <c r="E13156" s="5" t="n">
        <v>313</v>
      </c>
      <c r="F13156" s="3" t="inlineStr">
        <is>
          <t>오송읍</t>
        </is>
      </c>
      <c r="G13156" s="3" t="inlineStr">
        <is>
          <t>오송리</t>
        </is>
      </c>
      <c r="H13156" s="3" t="inlineStr">
        <is>
          <t>단독다가구</t>
        </is>
      </c>
      <c r="I13156" s="3" t="inlineStr">
        <is>
          <t>단독</t>
        </is>
      </c>
      <c r="J13156" s="3" t="inlineStr">
        <is>
          <t>오송읍</t>
        </is>
      </c>
    </row>
    <row r="13157">
      <c r="A13157" s="3" t="n">
        <v>2022</v>
      </c>
      <c r="B13157" s="4" t="n">
        <v>13000</v>
      </c>
      <c r="C13157" s="4" t="n">
        <v>198</v>
      </c>
      <c r="D13157" s="4" t="n">
        <v>59.895</v>
      </c>
      <c r="E13157" s="5" t="n">
        <v>217</v>
      </c>
      <c r="F13157" s="3" t="inlineStr">
        <is>
          <t>강내면</t>
        </is>
      </c>
      <c r="G13157" s="3" t="inlineStr">
        <is>
          <t>사인리</t>
        </is>
      </c>
      <c r="H13157" s="3" t="inlineStr">
        <is>
          <t>단독다가구</t>
        </is>
      </c>
      <c r="I13157" s="3" t="inlineStr">
        <is>
          <t>단독</t>
        </is>
      </c>
      <c r="J13157" s="3" t="inlineStr">
        <is>
          <t>강내면</t>
        </is>
      </c>
    </row>
    <row r="13158">
      <c r="A13158" s="3" t="n">
        <v>2022</v>
      </c>
      <c r="B13158" s="4" t="n">
        <v>13000</v>
      </c>
      <c r="C13158" s="4" t="n">
        <v>292</v>
      </c>
      <c r="D13158" s="4" t="n">
        <v>88.33</v>
      </c>
      <c r="E13158" s="5" t="n">
        <v>147.2</v>
      </c>
      <c r="F13158" s="3" t="inlineStr">
        <is>
          <t>오송읍</t>
        </is>
      </c>
      <c r="G13158" s="3" t="inlineStr">
        <is>
          <t>동평리</t>
        </is>
      </c>
      <c r="H13158" s="3" t="inlineStr">
        <is>
          <t>단독다가구</t>
        </is>
      </c>
      <c r="I13158" s="3" t="inlineStr">
        <is>
          <t>단독</t>
        </is>
      </c>
      <c r="J13158" s="3" t="inlineStr">
        <is>
          <t>오송읍</t>
        </is>
      </c>
    </row>
    <row r="13159">
      <c r="A13159" s="3" t="n">
        <v>2022</v>
      </c>
      <c r="B13159" s="4" t="n">
        <v>13000</v>
      </c>
      <c r="C13159" s="4" t="n">
        <v>292</v>
      </c>
      <c r="D13159" s="4" t="n">
        <v>88.33</v>
      </c>
      <c r="E13159" s="5" t="n">
        <v>147.2</v>
      </c>
      <c r="F13159" s="3" t="inlineStr">
        <is>
          <t>오송읍</t>
        </is>
      </c>
      <c r="G13159" s="3" t="inlineStr">
        <is>
          <t>동평리</t>
        </is>
      </c>
      <c r="H13159" s="3" t="inlineStr">
        <is>
          <t>단독다가구</t>
        </is>
      </c>
      <c r="I13159" s="3" t="inlineStr">
        <is>
          <t>단독</t>
        </is>
      </c>
      <c r="J13159" s="3" t="inlineStr">
        <is>
          <t>오송읍</t>
        </is>
      </c>
    </row>
    <row r="13160">
      <c r="A13160" s="3" t="n">
        <v>2022</v>
      </c>
      <c r="B13160" s="4" t="n">
        <v>72000</v>
      </c>
      <c r="C13160" s="4" t="n">
        <v>263.9</v>
      </c>
      <c r="D13160" s="4" t="n">
        <v>79.82974999999999</v>
      </c>
      <c r="E13160" s="5" t="n">
        <v>901.9</v>
      </c>
      <c r="F13160" s="3" t="inlineStr">
        <is>
          <t>오송읍</t>
        </is>
      </c>
      <c r="G13160" s="3" t="inlineStr">
        <is>
          <t>만수리</t>
        </is>
      </c>
      <c r="H13160" s="3" t="inlineStr">
        <is>
          <t>단독다가구</t>
        </is>
      </c>
      <c r="I13160" s="3" t="inlineStr">
        <is>
          <t>다가구</t>
        </is>
      </c>
      <c r="J13160" s="3" t="inlineStr">
        <is>
          <t>오송읍</t>
        </is>
      </c>
    </row>
    <row r="13161">
      <c r="A13161" s="3" t="n">
        <v>2022</v>
      </c>
      <c r="B13161" s="4" t="n">
        <v>27000</v>
      </c>
      <c r="C13161" s="4" t="n">
        <v>424</v>
      </c>
      <c r="D13161" s="4" t="n">
        <v>128.26</v>
      </c>
      <c r="E13161" s="5" t="n">
        <v>210.5</v>
      </c>
      <c r="F13161" s="3" t="inlineStr">
        <is>
          <t>오송읍</t>
        </is>
      </c>
      <c r="G13161" s="3" t="inlineStr">
        <is>
          <t>연제리</t>
        </is>
      </c>
      <c r="H13161" s="3" t="inlineStr">
        <is>
          <t>단독다가구</t>
        </is>
      </c>
      <c r="I13161" s="3" t="inlineStr">
        <is>
          <t>단독</t>
        </is>
      </c>
      <c r="J13161" s="3" t="inlineStr">
        <is>
          <t>오송읍</t>
        </is>
      </c>
    </row>
    <row r="13162">
      <c r="A13162" s="3" t="n">
        <v>2022</v>
      </c>
      <c r="B13162" s="4" t="n">
        <v>37500</v>
      </c>
      <c r="C13162" s="4" t="n">
        <v>202</v>
      </c>
      <c r="D13162" s="4" t="n">
        <v>61.105</v>
      </c>
      <c r="E13162" s="5" t="n">
        <v>613.7</v>
      </c>
      <c r="F13162" s="3" t="inlineStr">
        <is>
          <t>오송읍</t>
        </is>
      </c>
      <c r="G13162" s="3" t="inlineStr">
        <is>
          <t>궁평리</t>
        </is>
      </c>
      <c r="H13162" s="3" t="inlineStr">
        <is>
          <t>단독다가구</t>
        </is>
      </c>
      <c r="I13162" s="3" t="inlineStr">
        <is>
          <t>단독</t>
        </is>
      </c>
      <c r="J13162" s="3" t="inlineStr">
        <is>
          <t>오송읍</t>
        </is>
      </c>
    </row>
    <row r="13163">
      <c r="A13163" s="3" t="n">
        <v>2022</v>
      </c>
      <c r="B13163" s="4" t="n">
        <v>62300</v>
      </c>
      <c r="C13163" s="4" t="n">
        <v>298</v>
      </c>
      <c r="D13163" s="4" t="n">
        <v>90.145</v>
      </c>
      <c r="E13163" s="5" t="n">
        <v>691.1</v>
      </c>
      <c r="F13163" s="3" t="inlineStr">
        <is>
          <t>오송읍</t>
        </is>
      </c>
      <c r="G13163" s="3" t="inlineStr">
        <is>
          <t>궁평리</t>
        </is>
      </c>
      <c r="H13163" s="3" t="inlineStr">
        <is>
          <t>단독다가구</t>
        </is>
      </c>
      <c r="I13163" s="3" t="inlineStr">
        <is>
          <t>단독</t>
        </is>
      </c>
      <c r="J13163" s="3" t="inlineStr">
        <is>
          <t>오송읍</t>
        </is>
      </c>
    </row>
    <row r="13164">
      <c r="A13164" s="3" t="n">
        <v>2022</v>
      </c>
      <c r="B13164" s="4" t="n">
        <v>105500</v>
      </c>
      <c r="C13164" s="4" t="n">
        <v>247</v>
      </c>
      <c r="D13164" s="4" t="n">
        <v>74.7175</v>
      </c>
      <c r="E13164" s="5" t="n">
        <v>1412</v>
      </c>
      <c r="F13164" s="3" t="inlineStr">
        <is>
          <t>오송읍</t>
        </is>
      </c>
      <c r="G13164" s="3" t="inlineStr">
        <is>
          <t>봉산리</t>
        </is>
      </c>
      <c r="H13164" s="3" t="inlineStr">
        <is>
          <t>단독다가구</t>
        </is>
      </c>
      <c r="I13164" s="3" t="inlineStr">
        <is>
          <t>단독</t>
        </is>
      </c>
      <c r="J13164" s="3" t="inlineStr">
        <is>
          <t>오송읍</t>
        </is>
      </c>
    </row>
    <row r="13165">
      <c r="A13165" s="3" t="n">
        <v>2022</v>
      </c>
      <c r="B13165" s="4" t="n">
        <v>9995</v>
      </c>
      <c r="C13165" s="4" t="n">
        <v>349</v>
      </c>
      <c r="D13165" s="4" t="n">
        <v>105.5725</v>
      </c>
      <c r="E13165" s="5" t="n">
        <v>94.7</v>
      </c>
      <c r="F13165" s="3" t="inlineStr">
        <is>
          <t>오송읍</t>
        </is>
      </c>
      <c r="G13165" s="3" t="inlineStr">
        <is>
          <t>공북리</t>
        </is>
      </c>
      <c r="H13165" s="3" t="inlineStr">
        <is>
          <t>단독다가구</t>
        </is>
      </c>
      <c r="I13165" s="3" t="inlineStr">
        <is>
          <t>단독</t>
        </is>
      </c>
      <c r="J13165" s="3" t="inlineStr">
        <is>
          <t>오송읍</t>
        </is>
      </c>
    </row>
    <row r="13166">
      <c r="A13166" s="3" t="n">
        <v>2023</v>
      </c>
      <c r="B13166" s="4" t="n">
        <v>33000</v>
      </c>
      <c r="C13166" s="4" t="n">
        <v>237</v>
      </c>
      <c r="D13166" s="4" t="n">
        <v>71.6925</v>
      </c>
      <c r="E13166" s="5" t="n">
        <v>460.3</v>
      </c>
      <c r="F13166" s="3" t="inlineStr">
        <is>
          <t>오송읍</t>
        </is>
      </c>
      <c r="G13166" s="3" t="inlineStr">
        <is>
          <t>오송리</t>
        </is>
      </c>
      <c r="H13166" s="3" t="inlineStr">
        <is>
          <t>단독다가구</t>
        </is>
      </c>
      <c r="I13166" s="3" t="inlineStr">
        <is>
          <t>단독</t>
        </is>
      </c>
      <c r="J13166" s="3" t="inlineStr">
        <is>
          <t>오송읍</t>
        </is>
      </c>
    </row>
    <row r="13167">
      <c r="A13167" s="3" t="n">
        <v>2023</v>
      </c>
      <c r="B13167" s="4" t="n">
        <v>39000</v>
      </c>
      <c r="C13167" s="4" t="n">
        <v>114</v>
      </c>
      <c r="D13167" s="4" t="n">
        <v>34.485</v>
      </c>
      <c r="E13167" s="5" t="n">
        <v>1130.9</v>
      </c>
      <c r="F13167" s="3" t="inlineStr">
        <is>
          <t>오송읍</t>
        </is>
      </c>
      <c r="G13167" s="3" t="inlineStr">
        <is>
          <t>오송리</t>
        </is>
      </c>
      <c r="H13167" s="3" t="inlineStr">
        <is>
          <t>단독다가구</t>
        </is>
      </c>
      <c r="I13167" s="3" t="inlineStr">
        <is>
          <t>단독</t>
        </is>
      </c>
      <c r="J13167" s="3" t="inlineStr">
        <is>
          <t>오송읍</t>
        </is>
      </c>
    </row>
    <row r="13168">
      <c r="A13168" s="3" t="n">
        <v>2025</v>
      </c>
      <c r="B13168" s="4" t="n">
        <v>42000</v>
      </c>
      <c r="C13168" s="4" t="n">
        <v>484</v>
      </c>
      <c r="D13168" s="4" t="n">
        <v>146.41</v>
      </c>
      <c r="E13168" s="5" t="n">
        <v>286.9</v>
      </c>
      <c r="F13168" s="3" t="inlineStr">
        <is>
          <t>강내면</t>
        </is>
      </c>
      <c r="G13168" s="3" t="inlineStr">
        <is>
          <t>연정리</t>
        </is>
      </c>
      <c r="H13168" s="3" t="inlineStr">
        <is>
          <t>단독다가구</t>
        </is>
      </c>
      <c r="I13168" s="3" t="inlineStr">
        <is>
          <t>단독</t>
        </is>
      </c>
      <c r="J13168" s="3" t="inlineStr">
        <is>
          <t>강내면</t>
        </is>
      </c>
    </row>
    <row r="13169">
      <c r="A13169" s="3" t="n">
        <v>2025</v>
      </c>
      <c r="B13169" s="4" t="n">
        <v>69845</v>
      </c>
      <c r="C13169" s="4" t="n">
        <v>446</v>
      </c>
      <c r="D13169" s="4" t="n">
        <v>134.915</v>
      </c>
      <c r="E13169" s="5" t="n">
        <v>517.7</v>
      </c>
      <c r="F13169" s="3" t="inlineStr">
        <is>
          <t>강내면</t>
        </is>
      </c>
      <c r="G13169" s="3" t="inlineStr">
        <is>
          <t>월탄리</t>
        </is>
      </c>
      <c r="H13169" s="3" t="inlineStr">
        <is>
          <t>단독다가구</t>
        </is>
      </c>
      <c r="I13169" s="3" t="inlineStr">
        <is>
          <t>단독</t>
        </is>
      </c>
      <c r="J13169" s="3" t="inlineStr">
        <is>
          <t>강내면</t>
        </is>
      </c>
    </row>
    <row r="13170">
      <c r="A13170" s="3" t="n">
        <v>2025</v>
      </c>
      <c r="B13170" s="4" t="n">
        <v>139000</v>
      </c>
      <c r="C13170" s="4" t="n">
        <v>276.5</v>
      </c>
      <c r="D13170" s="4" t="n">
        <v>83.64125</v>
      </c>
      <c r="E13170" s="5" t="n">
        <v>1661.9</v>
      </c>
      <c r="F13170" s="3" t="inlineStr">
        <is>
          <t>오송읍</t>
        </is>
      </c>
      <c r="G13170" s="3" t="inlineStr">
        <is>
          <t>봉산리</t>
        </is>
      </c>
      <c r="H13170" s="3" t="inlineStr">
        <is>
          <t>단독다가구</t>
        </is>
      </c>
      <c r="I13170" s="3" t="inlineStr">
        <is>
          <t>다가구</t>
        </is>
      </c>
      <c r="J13170" s="3" t="inlineStr">
        <is>
          <t>오송읍</t>
        </is>
      </c>
    </row>
    <row r="13171">
      <c r="A13171" s="3" t="n">
        <v>2025</v>
      </c>
      <c r="B13171" s="4" t="n">
        <v>66000</v>
      </c>
      <c r="C13171" s="4" t="n">
        <v>260.1</v>
      </c>
      <c r="D13171" s="4" t="n">
        <v>78.68025</v>
      </c>
      <c r="E13171" s="5" t="n">
        <v>838.8</v>
      </c>
      <c r="F13171" s="3" t="inlineStr">
        <is>
          <t>오송읍</t>
        </is>
      </c>
      <c r="G13171" s="3" t="inlineStr">
        <is>
          <t>만수리</t>
        </is>
      </c>
      <c r="H13171" s="3" t="inlineStr">
        <is>
          <t>단독다가구</t>
        </is>
      </c>
      <c r="I13171" s="3" t="inlineStr">
        <is>
          <t>다가구</t>
        </is>
      </c>
      <c r="J13171" s="3" t="inlineStr">
        <is>
          <t>오송읍</t>
        </is>
      </c>
    </row>
    <row r="13172">
      <c r="A13172" s="3" t="n">
        <v>2024</v>
      </c>
      <c r="B13172" s="4" t="n">
        <v>22000</v>
      </c>
      <c r="C13172" s="4" t="n">
        <v>215</v>
      </c>
      <c r="D13172" s="4" t="n">
        <v>65.03749999999999</v>
      </c>
      <c r="E13172" s="5" t="n">
        <v>338.3</v>
      </c>
      <c r="F13172" s="3" t="inlineStr">
        <is>
          <t>오송읍</t>
        </is>
      </c>
      <c r="G13172" s="3" t="inlineStr">
        <is>
          <t>오송리</t>
        </is>
      </c>
      <c r="H13172" s="3" t="inlineStr">
        <is>
          <t>단독다가구</t>
        </is>
      </c>
      <c r="I13172" s="3" t="inlineStr">
        <is>
          <t>단독</t>
        </is>
      </c>
      <c r="J13172" s="3" t="inlineStr">
        <is>
          <t>오송읍</t>
        </is>
      </c>
    </row>
    <row r="13173">
      <c r="A13173" s="3" t="n">
        <v>2024</v>
      </c>
      <c r="B13173" s="4" t="n">
        <v>15000</v>
      </c>
      <c r="C13173" s="4" t="n">
        <v>488</v>
      </c>
      <c r="D13173" s="4" t="n">
        <v>147.62</v>
      </c>
      <c r="E13173" s="5" t="n">
        <v>101.6</v>
      </c>
      <c r="F13173" s="3" t="inlineStr">
        <is>
          <t>오송읍</t>
        </is>
      </c>
      <c r="G13173" s="3" t="inlineStr">
        <is>
          <t>상봉리</t>
        </is>
      </c>
      <c r="H13173" s="3" t="inlineStr">
        <is>
          <t>단독다가구</t>
        </is>
      </c>
      <c r="I13173" s="3" t="inlineStr">
        <is>
          <t>단독</t>
        </is>
      </c>
      <c r="J13173" s="3" t="inlineStr">
        <is>
          <t>오송읍</t>
        </is>
      </c>
    </row>
    <row r="13174">
      <c r="A13174" s="3" t="n">
        <v>2024</v>
      </c>
      <c r="B13174" s="4" t="n">
        <v>16500</v>
      </c>
      <c r="C13174" s="4" t="n">
        <v>129</v>
      </c>
      <c r="D13174" s="4" t="n">
        <v>39.0225</v>
      </c>
      <c r="E13174" s="5" t="n">
        <v>422.8</v>
      </c>
      <c r="F13174" s="3" t="inlineStr">
        <is>
          <t>오송읍</t>
        </is>
      </c>
      <c r="G13174" s="3" t="inlineStr">
        <is>
          <t>오송리</t>
        </is>
      </c>
      <c r="H13174" s="3" t="inlineStr">
        <is>
          <t>단독다가구</t>
        </is>
      </c>
      <c r="I13174" s="3" t="inlineStr">
        <is>
          <t>단독</t>
        </is>
      </c>
      <c r="J13174" s="3" t="inlineStr">
        <is>
          <t>오송읍</t>
        </is>
      </c>
    </row>
    <row r="13175">
      <c r="A13175" s="3" t="n">
        <v>2024</v>
      </c>
      <c r="B13175" s="4" t="n">
        <v>17000</v>
      </c>
      <c r="C13175" s="4" t="n">
        <v>486</v>
      </c>
      <c r="D13175" s="4" t="n">
        <v>147.015</v>
      </c>
      <c r="E13175" s="5" t="n">
        <v>115.6</v>
      </c>
      <c r="F13175" s="3" t="inlineStr">
        <is>
          <t>오송읍</t>
        </is>
      </c>
      <c r="G13175" s="3" t="inlineStr">
        <is>
          <t>상정리</t>
        </is>
      </c>
      <c r="H13175" s="3" t="inlineStr">
        <is>
          <t>단독다가구</t>
        </is>
      </c>
      <c r="I13175" s="3" t="inlineStr">
        <is>
          <t>단독</t>
        </is>
      </c>
      <c r="J13175" s="3" t="inlineStr">
        <is>
          <t>오송읍</t>
        </is>
      </c>
    </row>
    <row r="13176">
      <c r="A13176" s="3" t="n">
        <v>2024</v>
      </c>
      <c r="B13176" s="4" t="n">
        <v>22000</v>
      </c>
      <c r="C13176" s="4" t="n">
        <v>318</v>
      </c>
      <c r="D13176" s="4" t="n">
        <v>96.19499999999999</v>
      </c>
      <c r="E13176" s="5" t="n">
        <v>228.7</v>
      </c>
      <c r="F13176" s="3" t="inlineStr">
        <is>
          <t>강내면</t>
        </is>
      </c>
      <c r="G13176" s="3" t="inlineStr">
        <is>
          <t>석화리</t>
        </is>
      </c>
      <c r="H13176" s="3" t="inlineStr">
        <is>
          <t>단독다가구</t>
        </is>
      </c>
      <c r="I13176" s="3" t="inlineStr">
        <is>
          <t>단독</t>
        </is>
      </c>
      <c r="J13176" s="3" t="inlineStr">
        <is>
          <t>강내면</t>
        </is>
      </c>
    </row>
    <row r="13177">
      <c r="A13177" s="3" t="n">
        <v>2024</v>
      </c>
      <c r="B13177" s="4" t="n">
        <v>9000</v>
      </c>
      <c r="C13177" s="4" t="n">
        <v>182</v>
      </c>
      <c r="D13177" s="4" t="n">
        <v>55.055</v>
      </c>
      <c r="E13177" s="5" t="n">
        <v>163.5</v>
      </c>
      <c r="F13177" s="3" t="inlineStr">
        <is>
          <t>강내면</t>
        </is>
      </c>
      <c r="G13177" s="3" t="inlineStr">
        <is>
          <t>저산리</t>
        </is>
      </c>
      <c r="H13177" s="3" t="inlineStr">
        <is>
          <t>단독다가구</t>
        </is>
      </c>
      <c r="I13177" s="3" t="inlineStr">
        <is>
          <t>단독</t>
        </is>
      </c>
      <c r="J13177" s="3" t="inlineStr">
        <is>
          <t>강내면</t>
        </is>
      </c>
    </row>
    <row r="13178">
      <c r="A13178" s="3" t="n">
        <v>2024</v>
      </c>
      <c r="B13178" s="4" t="n">
        <v>74000</v>
      </c>
      <c r="C13178" s="4" t="n">
        <v>260.8</v>
      </c>
      <c r="D13178" s="4" t="n">
        <v>78.892</v>
      </c>
      <c r="E13178" s="5" t="n">
        <v>938</v>
      </c>
      <c r="F13178" s="3" t="inlineStr">
        <is>
          <t>오송읍</t>
        </is>
      </c>
      <c r="G13178" s="3" t="inlineStr">
        <is>
          <t>만수리</t>
        </is>
      </c>
      <c r="H13178" s="3" t="inlineStr">
        <is>
          <t>단독다가구</t>
        </is>
      </c>
      <c r="I13178" s="3" t="inlineStr">
        <is>
          <t>다가구</t>
        </is>
      </c>
      <c r="J13178" s="3" t="inlineStr">
        <is>
          <t>오송읍</t>
        </is>
      </c>
    </row>
    <row r="13179">
      <c r="A13179" s="3" t="n">
        <v>2024</v>
      </c>
      <c r="B13179" s="4" t="n">
        <v>19500</v>
      </c>
      <c r="C13179" s="4" t="n">
        <v>1072</v>
      </c>
      <c r="D13179" s="4" t="n">
        <v>324.28</v>
      </c>
      <c r="E13179" s="5" t="n">
        <v>60.1</v>
      </c>
      <c r="F13179" s="3" t="inlineStr">
        <is>
          <t>강내면</t>
        </is>
      </c>
      <c r="G13179" s="3" t="inlineStr">
        <is>
          <t>연정리</t>
        </is>
      </c>
      <c r="H13179" s="3" t="inlineStr">
        <is>
          <t>단독다가구</t>
        </is>
      </c>
      <c r="I13179" s="3" t="inlineStr">
        <is>
          <t>단독</t>
        </is>
      </c>
      <c r="J13179" s="3" t="inlineStr">
        <is>
          <t>강내면</t>
        </is>
      </c>
    </row>
    <row r="13180">
      <c r="A13180" s="3" t="n">
        <v>2024</v>
      </c>
      <c r="B13180" s="4" t="n">
        <v>160000</v>
      </c>
      <c r="C13180" s="4" t="n">
        <v>360.7</v>
      </c>
      <c r="D13180" s="4" t="n">
        <v>109.11175</v>
      </c>
      <c r="E13180" s="5" t="n">
        <v>1466.4</v>
      </c>
      <c r="F13180" s="3" t="inlineStr">
        <is>
          <t>오송읍</t>
        </is>
      </c>
      <c r="G13180" s="3" t="inlineStr">
        <is>
          <t>봉산리</t>
        </is>
      </c>
      <c r="H13180" s="3" t="inlineStr">
        <is>
          <t>단독다가구</t>
        </is>
      </c>
      <c r="I13180" s="3" t="inlineStr">
        <is>
          <t>다가구</t>
        </is>
      </c>
      <c r="J13180" s="3" t="inlineStr">
        <is>
          <t>오송읍</t>
        </is>
      </c>
    </row>
    <row r="13181">
      <c r="A13181" s="3" t="n">
        <v>2024</v>
      </c>
      <c r="B13181" s="4" t="n">
        <v>66700</v>
      </c>
      <c r="C13181" s="4" t="n">
        <v>629</v>
      </c>
      <c r="D13181" s="4" t="n">
        <v>190.2725</v>
      </c>
      <c r="E13181" s="5" t="n">
        <v>350.5</v>
      </c>
      <c r="F13181" s="3" t="inlineStr">
        <is>
          <t>강내면</t>
        </is>
      </c>
      <c r="G13181" s="3" t="inlineStr">
        <is>
          <t>저산리</t>
        </is>
      </c>
      <c r="H13181" s="3" t="inlineStr">
        <is>
          <t>단독다가구</t>
        </is>
      </c>
      <c r="I13181" s="3" t="inlineStr">
        <is>
          <t>단독</t>
        </is>
      </c>
      <c r="J13181" s="3" t="inlineStr">
        <is>
          <t>강내면</t>
        </is>
      </c>
    </row>
    <row r="13182">
      <c r="A13182" s="3" t="n">
        <v>2025</v>
      </c>
      <c r="B13182" s="4" t="n">
        <v>25000</v>
      </c>
      <c r="C13182" s="4" t="n">
        <v>618</v>
      </c>
      <c r="D13182" s="4" t="n">
        <v>186.945</v>
      </c>
      <c r="E13182" s="5" t="n">
        <v>133.7</v>
      </c>
      <c r="F13182" s="3" t="inlineStr">
        <is>
          <t>오송읍</t>
        </is>
      </c>
      <c r="G13182" s="3" t="inlineStr">
        <is>
          <t>공북리</t>
        </is>
      </c>
      <c r="H13182" s="3" t="inlineStr">
        <is>
          <t>단독다가구</t>
        </is>
      </c>
      <c r="I13182" s="3" t="inlineStr">
        <is>
          <t>단독</t>
        </is>
      </c>
      <c r="J13182" s="3" t="inlineStr">
        <is>
          <t>오송읍</t>
        </is>
      </c>
    </row>
    <row r="13183">
      <c r="A13183" s="3" t="n">
        <v>2025</v>
      </c>
      <c r="B13183" s="4" t="n">
        <v>53500</v>
      </c>
      <c r="C13183" s="4" t="n">
        <v>331</v>
      </c>
      <c r="D13183" s="4" t="n">
        <v>100.1275</v>
      </c>
      <c r="E13183" s="5" t="n">
        <v>534.3</v>
      </c>
      <c r="F13183" s="3" t="inlineStr">
        <is>
          <t>오송읍</t>
        </is>
      </c>
      <c r="G13183" s="3" t="inlineStr">
        <is>
          <t>오송리</t>
        </is>
      </c>
      <c r="H13183" s="3" t="inlineStr">
        <is>
          <t>단독다가구</t>
        </is>
      </c>
      <c r="I13183" s="3" t="inlineStr">
        <is>
          <t>단독</t>
        </is>
      </c>
      <c r="J13183" s="3" t="inlineStr">
        <is>
          <t>오송읍</t>
        </is>
      </c>
    </row>
    <row r="13184">
      <c r="A13184" s="3" t="n">
        <v>2025</v>
      </c>
      <c r="B13184" s="4" t="n">
        <v>125000</v>
      </c>
      <c r="C13184" s="4" t="n">
        <v>270.7</v>
      </c>
      <c r="D13184" s="4" t="n">
        <v>81.88674999999999</v>
      </c>
      <c r="E13184" s="5" t="n">
        <v>1526.5</v>
      </c>
      <c r="F13184" s="3" t="inlineStr">
        <is>
          <t>오송읍</t>
        </is>
      </c>
      <c r="G13184" s="3" t="inlineStr">
        <is>
          <t>봉산리</t>
        </is>
      </c>
      <c r="H13184" s="3" t="inlineStr">
        <is>
          <t>단독다가구</t>
        </is>
      </c>
      <c r="I13184" s="3" t="inlineStr">
        <is>
          <t>다가구</t>
        </is>
      </c>
      <c r="J13184" s="3" t="inlineStr">
        <is>
          <t>오송읍</t>
        </is>
      </c>
    </row>
    <row r="13185">
      <c r="A13185" s="3" t="n">
        <v>2025</v>
      </c>
      <c r="B13185" s="4" t="n">
        <v>64500</v>
      </c>
      <c r="C13185" s="4" t="n">
        <v>446</v>
      </c>
      <c r="D13185" s="4" t="n">
        <v>134.915</v>
      </c>
      <c r="E13185" s="5" t="n">
        <v>478.1</v>
      </c>
      <c r="F13185" s="3" t="inlineStr">
        <is>
          <t>강내면</t>
        </is>
      </c>
      <c r="G13185" s="3" t="inlineStr">
        <is>
          <t>월탄리</t>
        </is>
      </c>
      <c r="H13185" s="3" t="inlineStr">
        <is>
          <t>단독다가구</t>
        </is>
      </c>
      <c r="I13185" s="3" t="inlineStr">
        <is>
          <t>다가구</t>
        </is>
      </c>
      <c r="J13185" s="3" t="inlineStr">
        <is>
          <t>강내면</t>
        </is>
      </c>
    </row>
    <row r="13186">
      <c r="A13186" s="3" t="n">
        <v>2024</v>
      </c>
      <c r="B13186" s="4" t="n">
        <v>53600</v>
      </c>
      <c r="C13186" s="4" t="n">
        <v>365</v>
      </c>
      <c r="D13186" s="4" t="n">
        <v>110.4125</v>
      </c>
      <c r="E13186" s="5" t="n">
        <v>485.5</v>
      </c>
      <c r="F13186" s="3" t="inlineStr">
        <is>
          <t>오송읍</t>
        </is>
      </c>
      <c r="G13186" s="3" t="inlineStr">
        <is>
          <t>궁평리</t>
        </is>
      </c>
      <c r="H13186" s="3" t="inlineStr">
        <is>
          <t>단독다가구</t>
        </is>
      </c>
      <c r="I13186" s="3" t="inlineStr">
        <is>
          <t>단독</t>
        </is>
      </c>
      <c r="J13186" s="3" t="inlineStr">
        <is>
          <t>오송읍</t>
        </is>
      </c>
    </row>
    <row r="13187">
      <c r="A13187" s="3" t="n">
        <v>2024</v>
      </c>
      <c r="B13187" s="4" t="n">
        <v>8000</v>
      </c>
      <c r="C13187" s="4" t="n">
        <v>610</v>
      </c>
      <c r="D13187" s="4" t="n">
        <v>184.525</v>
      </c>
      <c r="E13187" s="5" t="n">
        <v>43.4</v>
      </c>
      <c r="F13187" s="3" t="inlineStr">
        <is>
          <t>강내면</t>
        </is>
      </c>
      <c r="G13187" s="3" t="inlineStr">
        <is>
          <t>다락리</t>
        </is>
      </c>
      <c r="H13187" s="3" t="inlineStr">
        <is>
          <t>단독다가구</t>
        </is>
      </c>
      <c r="I13187" s="3" t="inlineStr">
        <is>
          <t>단독</t>
        </is>
      </c>
      <c r="J13187" s="3" t="inlineStr">
        <is>
          <t>강내면</t>
        </is>
      </c>
    </row>
    <row r="13188">
      <c r="A13188" s="3" t="n">
        <v>2024</v>
      </c>
      <c r="B13188" s="4" t="n">
        <v>67500</v>
      </c>
      <c r="C13188" s="4" t="n">
        <v>254</v>
      </c>
      <c r="D13188" s="4" t="n">
        <v>76.83499999999999</v>
      </c>
      <c r="E13188" s="5" t="n">
        <v>878.5</v>
      </c>
      <c r="F13188" s="3" t="inlineStr">
        <is>
          <t>오송읍</t>
        </is>
      </c>
      <c r="G13188" s="3" t="inlineStr">
        <is>
          <t>연제리</t>
        </is>
      </c>
      <c r="H13188" s="3" t="inlineStr">
        <is>
          <t>단독다가구</t>
        </is>
      </c>
      <c r="I13188" s="3" t="inlineStr">
        <is>
          <t>다가구</t>
        </is>
      </c>
      <c r="J13188" s="3" t="inlineStr">
        <is>
          <t>오송읍</t>
        </is>
      </c>
    </row>
    <row r="13189">
      <c r="A13189" s="3" t="n">
        <v>2024</v>
      </c>
      <c r="B13189" s="4" t="n">
        <v>9600</v>
      </c>
      <c r="C13189" s="4" t="n">
        <v>151</v>
      </c>
      <c r="D13189" s="4" t="n">
        <v>45.6775</v>
      </c>
      <c r="E13189" s="5" t="n">
        <v>210.2</v>
      </c>
      <c r="F13189" s="3" t="inlineStr">
        <is>
          <t>오송읍</t>
        </is>
      </c>
      <c r="G13189" s="3" t="inlineStr">
        <is>
          <t>궁평리</t>
        </is>
      </c>
      <c r="H13189" s="3" t="inlineStr">
        <is>
          <t>단독다가구</t>
        </is>
      </c>
      <c r="I13189" s="3" t="inlineStr">
        <is>
          <t>단독</t>
        </is>
      </c>
      <c r="J13189" s="3" t="inlineStr">
        <is>
          <t>오송읍</t>
        </is>
      </c>
    </row>
    <row r="13190">
      <c r="A13190" s="3" t="n">
        <v>2025</v>
      </c>
      <c r="B13190" s="4" t="n">
        <v>23500</v>
      </c>
      <c r="C13190" s="4" t="n">
        <v>330</v>
      </c>
      <c r="D13190" s="4" t="n">
        <v>99.825</v>
      </c>
      <c r="E13190" s="5" t="n">
        <v>235.4</v>
      </c>
      <c r="F13190" s="3" t="inlineStr">
        <is>
          <t>오송읍</t>
        </is>
      </c>
      <c r="G13190" s="3" t="inlineStr">
        <is>
          <t>봉산리</t>
        </is>
      </c>
      <c r="H13190" s="3" t="inlineStr">
        <is>
          <t>단독다가구</t>
        </is>
      </c>
      <c r="I13190" s="3" t="inlineStr">
        <is>
          <t>단독</t>
        </is>
      </c>
      <c r="J13190" s="3" t="inlineStr">
        <is>
          <t>오송읍</t>
        </is>
      </c>
    </row>
    <row r="13191">
      <c r="A13191" s="3" t="n">
        <v>2025</v>
      </c>
      <c r="B13191" s="4" t="n">
        <v>63500</v>
      </c>
      <c r="C13191" s="4" t="n">
        <v>283.3</v>
      </c>
      <c r="D13191" s="4" t="n">
        <v>85.69825</v>
      </c>
      <c r="E13191" s="5" t="n">
        <v>741</v>
      </c>
      <c r="F13191" s="3" t="inlineStr">
        <is>
          <t>오송읍</t>
        </is>
      </c>
      <c r="G13191" s="3" t="inlineStr">
        <is>
          <t>만수리</t>
        </is>
      </c>
      <c r="H13191" s="3" t="inlineStr">
        <is>
          <t>단독다가구</t>
        </is>
      </c>
      <c r="I13191" s="3" t="inlineStr">
        <is>
          <t>다가구</t>
        </is>
      </c>
      <c r="J13191" s="3" t="inlineStr">
        <is>
          <t>오송읍</t>
        </is>
      </c>
    </row>
    <row r="13192">
      <c r="A13192" s="3" t="n">
        <v>2025</v>
      </c>
      <c r="B13192" s="4" t="n">
        <v>34500</v>
      </c>
      <c r="C13192" s="4" t="n">
        <v>456</v>
      </c>
      <c r="D13192" s="4" t="n">
        <v>137.94</v>
      </c>
      <c r="E13192" s="5" t="n">
        <v>250.1</v>
      </c>
      <c r="F13192" s="3" t="inlineStr">
        <is>
          <t>오송읍</t>
        </is>
      </c>
      <c r="G13192" s="3" t="inlineStr">
        <is>
          <t>정중리</t>
        </is>
      </c>
      <c r="H13192" s="3" t="inlineStr">
        <is>
          <t>단독다가구</t>
        </is>
      </c>
      <c r="I13192" s="3" t="inlineStr">
        <is>
          <t>단독</t>
        </is>
      </c>
      <c r="J13192" s="3" t="inlineStr">
        <is>
          <t>오송읍</t>
        </is>
      </c>
    </row>
    <row r="13193">
      <c r="A13193" s="3" t="n">
        <v>2025</v>
      </c>
      <c r="B13193" s="4" t="n">
        <v>66250</v>
      </c>
      <c r="C13193" s="4" t="n">
        <v>257.9</v>
      </c>
      <c r="D13193" s="4" t="n">
        <v>78.01474999999999</v>
      </c>
      <c r="E13193" s="5" t="n">
        <v>849.2</v>
      </c>
      <c r="F13193" s="3" t="inlineStr">
        <is>
          <t>오송읍</t>
        </is>
      </c>
      <c r="G13193" s="3" t="inlineStr">
        <is>
          <t>만수리</t>
        </is>
      </c>
      <c r="H13193" s="3" t="inlineStr">
        <is>
          <t>단독다가구</t>
        </is>
      </c>
      <c r="I13193" s="3" t="inlineStr">
        <is>
          <t>다가구</t>
        </is>
      </c>
      <c r="J13193" s="3" t="inlineStr">
        <is>
          <t>오송읍</t>
        </is>
      </c>
    </row>
    <row r="13194">
      <c r="A13194" s="3" t="n">
        <v>2022</v>
      </c>
      <c r="B13194" s="4" t="n">
        <v>17500</v>
      </c>
      <c r="C13194" s="4" t="n">
        <v>198</v>
      </c>
      <c r="D13194" s="4" t="n">
        <v>59.895</v>
      </c>
      <c r="E13194" s="5" t="n">
        <v>292.2</v>
      </c>
      <c r="F13194" s="3" t="inlineStr">
        <is>
          <t>오송읍</t>
        </is>
      </c>
      <c r="G13194" s="3" t="inlineStr">
        <is>
          <t>궁평리</t>
        </is>
      </c>
      <c r="H13194" s="3" t="inlineStr">
        <is>
          <t>단독다가구</t>
        </is>
      </c>
      <c r="I13194" s="3" t="inlineStr">
        <is>
          <t>단독</t>
        </is>
      </c>
      <c r="J13194" s="3" t="inlineStr">
        <is>
          <t>오송읍</t>
        </is>
      </c>
    </row>
    <row r="13195">
      <c r="A13195" s="3" t="n">
        <v>2022</v>
      </c>
      <c r="B13195" s="4" t="n">
        <v>60000</v>
      </c>
      <c r="C13195" s="4" t="n">
        <v>1187</v>
      </c>
      <c r="D13195" s="4" t="n">
        <v>359.0675</v>
      </c>
      <c r="E13195" s="5" t="n">
        <v>167.1</v>
      </c>
      <c r="F13195" s="3" t="inlineStr">
        <is>
          <t>강내면</t>
        </is>
      </c>
      <c r="G13195" s="3" t="inlineStr">
        <is>
          <t>월탄리</t>
        </is>
      </c>
      <c r="H13195" s="3" t="inlineStr">
        <is>
          <t>단독다가구</t>
        </is>
      </c>
      <c r="I13195" s="3" t="inlineStr">
        <is>
          <t>단독</t>
        </is>
      </c>
      <c r="J13195" s="3" t="inlineStr">
        <is>
          <t>강내면</t>
        </is>
      </c>
    </row>
    <row r="13196">
      <c r="A13196" s="3" t="n">
        <v>2022</v>
      </c>
      <c r="B13196" s="4" t="n">
        <v>33000</v>
      </c>
      <c r="C13196" s="4" t="n">
        <v>390</v>
      </c>
      <c r="D13196" s="4" t="n">
        <v>117.975</v>
      </c>
      <c r="E13196" s="5" t="n">
        <v>279.7</v>
      </c>
      <c r="F13196" s="3" t="inlineStr">
        <is>
          <t>오송읍</t>
        </is>
      </c>
      <c r="G13196" s="3" t="inlineStr">
        <is>
          <t>오송리</t>
        </is>
      </c>
      <c r="H13196" s="3" t="inlineStr">
        <is>
          <t>단독다가구</t>
        </is>
      </c>
      <c r="I13196" s="3" t="inlineStr">
        <is>
          <t>단독</t>
        </is>
      </c>
      <c r="J13196" s="3" t="inlineStr">
        <is>
          <t>오송읍</t>
        </is>
      </c>
    </row>
    <row r="13197">
      <c r="A13197" s="3" t="n">
        <v>2022</v>
      </c>
      <c r="B13197" s="4" t="n">
        <v>22280</v>
      </c>
      <c r="C13197" s="4" t="n">
        <v>363</v>
      </c>
      <c r="D13197" s="4" t="n">
        <v>109.8075</v>
      </c>
      <c r="E13197" s="5" t="n">
        <v>202.9</v>
      </c>
      <c r="F13197" s="3" t="inlineStr">
        <is>
          <t>강내면</t>
        </is>
      </c>
      <c r="G13197" s="3" t="inlineStr">
        <is>
          <t>월탄리</t>
        </is>
      </c>
      <c r="H13197" s="3" t="inlineStr">
        <is>
          <t>단독다가구</t>
        </is>
      </c>
      <c r="I13197" s="3" t="inlineStr">
        <is>
          <t>단독</t>
        </is>
      </c>
      <c r="J13197" s="3" t="inlineStr">
        <is>
          <t>강내면</t>
        </is>
      </c>
    </row>
    <row r="13198">
      <c r="A13198" s="3" t="n">
        <v>2022</v>
      </c>
      <c r="B13198" s="4" t="n">
        <v>155000</v>
      </c>
      <c r="C13198" s="4" t="n">
        <v>263.6</v>
      </c>
      <c r="D13198" s="4" t="n">
        <v>79.739</v>
      </c>
      <c r="E13198" s="5" t="n">
        <v>1943.8</v>
      </c>
      <c r="F13198" s="3" t="inlineStr">
        <is>
          <t>오송읍</t>
        </is>
      </c>
      <c r="G13198" s="3" t="inlineStr">
        <is>
          <t>봉산리</t>
        </is>
      </c>
      <c r="H13198" s="3" t="inlineStr">
        <is>
          <t>단독다가구</t>
        </is>
      </c>
      <c r="I13198" s="3" t="inlineStr">
        <is>
          <t>다가구</t>
        </is>
      </c>
      <c r="J13198" s="3" t="inlineStr">
        <is>
          <t>오송읍</t>
        </is>
      </c>
    </row>
    <row r="13199">
      <c r="A13199" s="3" t="n">
        <v>2023</v>
      </c>
      <c r="B13199" s="4" t="n">
        <v>55000</v>
      </c>
      <c r="C13199" s="4" t="n">
        <v>516</v>
      </c>
      <c r="D13199" s="4" t="n">
        <v>156.09</v>
      </c>
      <c r="E13199" s="5" t="n">
        <v>352.4</v>
      </c>
      <c r="F13199" s="3" t="inlineStr">
        <is>
          <t>오송읍</t>
        </is>
      </c>
      <c r="G13199" s="3" t="inlineStr">
        <is>
          <t>오송리</t>
        </is>
      </c>
      <c r="H13199" s="3" t="inlineStr">
        <is>
          <t>단독다가구</t>
        </is>
      </c>
      <c r="I13199" s="3" t="inlineStr">
        <is>
          <t>단독</t>
        </is>
      </c>
      <c r="J13199" s="3" t="inlineStr">
        <is>
          <t>오송읍</t>
        </is>
      </c>
    </row>
    <row r="13200">
      <c r="A13200" s="3" t="n">
        <v>2023</v>
      </c>
      <c r="B13200" s="4" t="n">
        <v>72100</v>
      </c>
      <c r="C13200" s="4" t="n">
        <v>676</v>
      </c>
      <c r="D13200" s="4" t="n">
        <v>204.49</v>
      </c>
      <c r="E13200" s="5" t="n">
        <v>352.6</v>
      </c>
      <c r="F13200" s="3" t="inlineStr">
        <is>
          <t>강내면</t>
        </is>
      </c>
      <c r="G13200" s="3" t="inlineStr">
        <is>
          <t>월탄리</t>
        </is>
      </c>
      <c r="H13200" s="3" t="inlineStr">
        <is>
          <t>단독다가구</t>
        </is>
      </c>
      <c r="I13200" s="3" t="inlineStr">
        <is>
          <t>다가구</t>
        </is>
      </c>
      <c r="J13200" s="3" t="inlineStr">
        <is>
          <t>강내면</t>
        </is>
      </c>
    </row>
    <row r="13201">
      <c r="A13201" s="3" t="n">
        <v>2023</v>
      </c>
      <c r="B13201" s="4" t="n">
        <v>27000</v>
      </c>
      <c r="C13201" s="4" t="n">
        <v>299</v>
      </c>
      <c r="D13201" s="4" t="n">
        <v>90.44749999999999</v>
      </c>
      <c r="E13201" s="5" t="n">
        <v>298.5</v>
      </c>
      <c r="F13201" s="3" t="inlineStr">
        <is>
          <t>오송읍</t>
        </is>
      </c>
      <c r="G13201" s="3" t="inlineStr">
        <is>
          <t>동평리</t>
        </is>
      </c>
      <c r="H13201" s="3" t="inlineStr">
        <is>
          <t>단독다가구</t>
        </is>
      </c>
      <c r="I13201" s="3" t="inlineStr">
        <is>
          <t>단독</t>
        </is>
      </c>
      <c r="J13201" s="3" t="inlineStr">
        <is>
          <t>오송읍</t>
        </is>
      </c>
    </row>
    <row r="13202">
      <c r="A13202" s="3" t="n">
        <v>2023</v>
      </c>
      <c r="B13202" s="4" t="n">
        <v>72000</v>
      </c>
      <c r="C13202" s="4" t="n">
        <v>274.9</v>
      </c>
      <c r="D13202" s="4" t="n">
        <v>83.15724999999999</v>
      </c>
      <c r="E13202" s="5" t="n">
        <v>865.8</v>
      </c>
      <c r="F13202" s="3" t="inlineStr">
        <is>
          <t>오송읍</t>
        </is>
      </c>
      <c r="G13202" s="3" t="inlineStr">
        <is>
          <t>연제리</t>
        </is>
      </c>
      <c r="H13202" s="3" t="inlineStr">
        <is>
          <t>단독다가구</t>
        </is>
      </c>
      <c r="I13202" s="3" t="inlineStr">
        <is>
          <t>다가구</t>
        </is>
      </c>
      <c r="J13202" s="3" t="inlineStr">
        <is>
          <t>오송읍</t>
        </is>
      </c>
    </row>
    <row r="13203">
      <c r="A13203" s="3" t="n">
        <v>2023</v>
      </c>
      <c r="B13203" s="4" t="n">
        <v>9700</v>
      </c>
      <c r="C13203" s="4" t="n">
        <v>185</v>
      </c>
      <c r="D13203" s="4" t="n">
        <v>55.9625</v>
      </c>
      <c r="E13203" s="5" t="n">
        <v>173.3</v>
      </c>
      <c r="F13203" s="3" t="inlineStr">
        <is>
          <t>오송읍</t>
        </is>
      </c>
      <c r="G13203" s="3" t="inlineStr">
        <is>
          <t>정중리</t>
        </is>
      </c>
      <c r="H13203" s="3" t="inlineStr">
        <is>
          <t>단독다가구</t>
        </is>
      </c>
      <c r="I13203" s="3" t="inlineStr">
        <is>
          <t>단독</t>
        </is>
      </c>
      <c r="J13203" s="3" t="inlineStr">
        <is>
          <t>오송읍</t>
        </is>
      </c>
    </row>
    <row r="13204">
      <c r="A13204" s="3" t="n">
        <v>2023</v>
      </c>
      <c r="B13204" s="4" t="n">
        <v>45000</v>
      </c>
      <c r="C13204" s="4" t="n">
        <v>371</v>
      </c>
      <c r="D13204" s="4" t="n">
        <v>112.2275</v>
      </c>
      <c r="E13204" s="5" t="n">
        <v>401</v>
      </c>
      <c r="F13204" s="3" t="inlineStr">
        <is>
          <t>오송읍</t>
        </is>
      </c>
      <c r="G13204" s="3" t="inlineStr">
        <is>
          <t>동평리</t>
        </is>
      </c>
      <c r="H13204" s="3" t="inlineStr">
        <is>
          <t>단독다가구</t>
        </is>
      </c>
      <c r="I13204" s="3" t="inlineStr">
        <is>
          <t>단독</t>
        </is>
      </c>
      <c r="J13204" s="3" t="inlineStr">
        <is>
          <t>오송읍</t>
        </is>
      </c>
    </row>
    <row r="13205">
      <c r="A13205" s="3" t="n">
        <v>2023</v>
      </c>
      <c r="B13205" s="4" t="n">
        <v>23000</v>
      </c>
      <c r="C13205" s="4" t="n">
        <v>660</v>
      </c>
      <c r="D13205" s="4" t="n">
        <v>199.65</v>
      </c>
      <c r="E13205" s="5" t="n">
        <v>115.2</v>
      </c>
      <c r="F13205" s="3" t="inlineStr">
        <is>
          <t>오송읍</t>
        </is>
      </c>
      <c r="G13205" s="3" t="inlineStr">
        <is>
          <t>공북리</t>
        </is>
      </c>
      <c r="H13205" s="3" t="inlineStr">
        <is>
          <t>단독다가구</t>
        </is>
      </c>
      <c r="I13205" s="3" t="inlineStr">
        <is>
          <t>단독</t>
        </is>
      </c>
      <c r="J13205" s="3" t="inlineStr">
        <is>
          <t>오송읍</t>
        </is>
      </c>
    </row>
    <row r="13206">
      <c r="A13206" s="3" t="n">
        <v>2024</v>
      </c>
      <c r="B13206" s="4" t="n">
        <v>134000</v>
      </c>
      <c r="C13206" s="4" t="n">
        <v>276.2</v>
      </c>
      <c r="D13206" s="4" t="n">
        <v>83.5505</v>
      </c>
      <c r="E13206" s="5" t="n">
        <v>1603.8</v>
      </c>
      <c r="F13206" s="3" t="inlineStr">
        <is>
          <t>오송읍</t>
        </is>
      </c>
      <c r="G13206" s="3" t="inlineStr">
        <is>
          <t>봉산리</t>
        </is>
      </c>
      <c r="H13206" s="3" t="inlineStr">
        <is>
          <t>단독다가구</t>
        </is>
      </c>
      <c r="I13206" s="3" t="inlineStr">
        <is>
          <t>다가구</t>
        </is>
      </c>
      <c r="J13206" s="3" t="inlineStr">
        <is>
          <t>오송읍</t>
        </is>
      </c>
    </row>
    <row r="13207">
      <c r="A13207" s="3" t="n">
        <v>2024</v>
      </c>
      <c r="B13207" s="4" t="n">
        <v>14700</v>
      </c>
      <c r="C13207" s="4" t="n">
        <v>318</v>
      </c>
      <c r="D13207" s="4" t="n">
        <v>96.19499999999999</v>
      </c>
      <c r="E13207" s="5" t="n">
        <v>152.8</v>
      </c>
      <c r="F13207" s="3" t="inlineStr">
        <is>
          <t>오송읍</t>
        </is>
      </c>
      <c r="G13207" s="3" t="inlineStr">
        <is>
          <t>상봉리</t>
        </is>
      </c>
      <c r="H13207" s="3" t="inlineStr">
        <is>
          <t>단독다가구</t>
        </is>
      </c>
      <c r="I13207" s="3" t="inlineStr">
        <is>
          <t>단독</t>
        </is>
      </c>
      <c r="J13207" s="3" t="inlineStr">
        <is>
          <t>오송읍</t>
        </is>
      </c>
    </row>
    <row r="13208">
      <c r="A13208" s="3" t="n">
        <v>2024</v>
      </c>
      <c r="B13208" s="4" t="n">
        <v>176000</v>
      </c>
      <c r="C13208" s="4" t="n">
        <v>248.7</v>
      </c>
      <c r="D13208" s="4" t="n">
        <v>75.23174999999999</v>
      </c>
      <c r="E13208" s="5" t="n">
        <v>2339.4</v>
      </c>
      <c r="F13208" s="3" t="inlineStr">
        <is>
          <t>오송읍</t>
        </is>
      </c>
      <c r="G13208" s="3" t="inlineStr">
        <is>
          <t>봉산리</t>
        </is>
      </c>
      <c r="H13208" s="3" t="inlineStr">
        <is>
          <t>단독다가구</t>
        </is>
      </c>
      <c r="I13208" s="3" t="inlineStr">
        <is>
          <t>다가구</t>
        </is>
      </c>
      <c r="J13208" s="3" t="inlineStr">
        <is>
          <t>오송읍</t>
        </is>
      </c>
    </row>
    <row r="13209">
      <c r="A13209" s="3" t="n">
        <v>2024</v>
      </c>
      <c r="B13209" s="4" t="n">
        <v>15750</v>
      </c>
      <c r="C13209" s="4" t="n">
        <v>323</v>
      </c>
      <c r="D13209" s="4" t="n">
        <v>97.7075</v>
      </c>
      <c r="E13209" s="5" t="n">
        <v>161.2</v>
      </c>
      <c r="F13209" s="3" t="inlineStr">
        <is>
          <t>강내면</t>
        </is>
      </c>
      <c r="G13209" s="3" t="inlineStr">
        <is>
          <t>사곡리</t>
        </is>
      </c>
      <c r="H13209" s="3" t="inlineStr">
        <is>
          <t>단독다가구</t>
        </is>
      </c>
      <c r="I13209" s="3" t="inlineStr">
        <is>
          <t>단독</t>
        </is>
      </c>
      <c r="J13209" s="3" t="inlineStr">
        <is>
          <t>강내면</t>
        </is>
      </c>
    </row>
    <row r="13210">
      <c r="A13210" s="3" t="n">
        <v>2024</v>
      </c>
      <c r="B13210" s="4" t="n">
        <v>35000</v>
      </c>
      <c r="C13210" s="4" t="n">
        <v>658</v>
      </c>
      <c r="D13210" s="4" t="n">
        <v>199.045</v>
      </c>
      <c r="E13210" s="5" t="n">
        <v>175.8</v>
      </c>
      <c r="F13210" s="3" t="inlineStr">
        <is>
          <t>오송읍</t>
        </is>
      </c>
      <c r="G13210" s="3" t="inlineStr">
        <is>
          <t>공북리</t>
        </is>
      </c>
      <c r="H13210" s="3" t="inlineStr">
        <is>
          <t>단독다가구</t>
        </is>
      </c>
      <c r="I13210" s="3" t="inlineStr">
        <is>
          <t>단독</t>
        </is>
      </c>
      <c r="J13210" s="3" t="inlineStr">
        <is>
          <t>오송읍</t>
        </is>
      </c>
    </row>
    <row r="13211">
      <c r="A13211" s="3" t="n">
        <v>2024</v>
      </c>
      <c r="B13211" s="4" t="n">
        <v>140000</v>
      </c>
      <c r="C13211" s="4" t="n">
        <v>476</v>
      </c>
      <c r="D13211" s="4" t="n">
        <v>143.99</v>
      </c>
      <c r="E13211" s="5" t="n">
        <v>972.3</v>
      </c>
      <c r="F13211" s="3" t="inlineStr">
        <is>
          <t>오송읍</t>
        </is>
      </c>
      <c r="G13211" s="3" t="inlineStr">
        <is>
          <t>오송리</t>
        </is>
      </c>
      <c r="H13211" s="3" t="inlineStr">
        <is>
          <t>단독다가구</t>
        </is>
      </c>
      <c r="I13211" s="3" t="inlineStr">
        <is>
          <t>단독</t>
        </is>
      </c>
      <c r="J13211" s="3" t="inlineStr">
        <is>
          <t>오송읍</t>
        </is>
      </c>
    </row>
    <row r="13212">
      <c r="A13212" s="3" t="n">
        <v>2024</v>
      </c>
      <c r="B13212" s="4" t="n">
        <v>8500</v>
      </c>
      <c r="C13212" s="4" t="n">
        <v>357</v>
      </c>
      <c r="D13212" s="4" t="n">
        <v>107.9925</v>
      </c>
      <c r="E13212" s="5" t="n">
        <v>78.7</v>
      </c>
      <c r="F13212" s="3" t="inlineStr">
        <is>
          <t>강내면</t>
        </is>
      </c>
      <c r="G13212" s="3" t="inlineStr">
        <is>
          <t>저산리</t>
        </is>
      </c>
      <c r="H13212" s="3" t="inlineStr">
        <is>
          <t>단독다가구</t>
        </is>
      </c>
      <c r="I13212" s="3" t="inlineStr">
        <is>
          <t>단독</t>
        </is>
      </c>
      <c r="J13212" s="3" t="inlineStr">
        <is>
          <t>강내면</t>
        </is>
      </c>
    </row>
    <row r="13213">
      <c r="A13213" s="3" t="n">
        <v>2024</v>
      </c>
      <c r="B13213" s="4" t="n">
        <v>24000</v>
      </c>
      <c r="C13213" s="4" t="n">
        <v>238</v>
      </c>
      <c r="D13213" s="4" t="n">
        <v>71.995</v>
      </c>
      <c r="E13213" s="5" t="n">
        <v>333.4</v>
      </c>
      <c r="F13213" s="3" t="inlineStr">
        <is>
          <t>오송읍</t>
        </is>
      </c>
      <c r="G13213" s="3" t="inlineStr">
        <is>
          <t>동평리</t>
        </is>
      </c>
      <c r="H13213" s="3" t="inlineStr">
        <is>
          <t>단독다가구</t>
        </is>
      </c>
      <c r="I13213" s="3" t="inlineStr">
        <is>
          <t>단독</t>
        </is>
      </c>
      <c r="J13213" s="3" t="inlineStr">
        <is>
          <t>오송읍</t>
        </is>
      </c>
    </row>
    <row r="13214">
      <c r="A13214" s="3" t="n">
        <v>2024</v>
      </c>
      <c r="B13214" s="4" t="n">
        <v>55000</v>
      </c>
      <c r="C13214" s="4" t="n">
        <v>1048</v>
      </c>
      <c r="D13214" s="4" t="n">
        <v>317.02</v>
      </c>
      <c r="E13214" s="5" t="n">
        <v>173.5</v>
      </c>
      <c r="F13214" s="3" t="inlineStr">
        <is>
          <t>오송읍</t>
        </is>
      </c>
      <c r="G13214" s="3" t="inlineStr">
        <is>
          <t>공북리</t>
        </is>
      </c>
      <c r="H13214" s="3" t="inlineStr">
        <is>
          <t>단독다가구</t>
        </is>
      </c>
      <c r="I13214" s="3" t="inlineStr">
        <is>
          <t>단독</t>
        </is>
      </c>
      <c r="J13214" s="3" t="inlineStr">
        <is>
          <t>오송읍</t>
        </is>
      </c>
    </row>
    <row r="13215">
      <c r="A13215" s="3" t="n">
        <v>2024</v>
      </c>
      <c r="B13215" s="4" t="n">
        <v>28000</v>
      </c>
      <c r="C13215" s="4" t="n">
        <v>347</v>
      </c>
      <c r="D13215" s="4" t="n">
        <v>104.9675</v>
      </c>
      <c r="E13215" s="5" t="n">
        <v>266.7</v>
      </c>
      <c r="F13215" s="3" t="inlineStr">
        <is>
          <t>강내면</t>
        </is>
      </c>
      <c r="G13215" s="3" t="inlineStr">
        <is>
          <t>궁현리</t>
        </is>
      </c>
      <c r="H13215" s="3" t="inlineStr">
        <is>
          <t>단독다가구</t>
        </is>
      </c>
      <c r="I13215" s="3" t="inlineStr">
        <is>
          <t>단독</t>
        </is>
      </c>
      <c r="J13215" s="3" t="inlineStr">
        <is>
          <t>강내면</t>
        </is>
      </c>
    </row>
    <row r="13216">
      <c r="A13216" s="3" t="n">
        <v>2024</v>
      </c>
      <c r="B13216" s="4" t="n">
        <v>18000</v>
      </c>
      <c r="C13216" s="4" t="n">
        <v>341</v>
      </c>
      <c r="D13216" s="4" t="n">
        <v>103.1525</v>
      </c>
      <c r="E13216" s="5" t="n">
        <v>174.5</v>
      </c>
      <c r="F13216" s="3" t="inlineStr">
        <is>
          <t>오송읍</t>
        </is>
      </c>
      <c r="G13216" s="3" t="inlineStr">
        <is>
          <t>서평리</t>
        </is>
      </c>
      <c r="H13216" s="3" t="inlineStr">
        <is>
          <t>단독다가구</t>
        </is>
      </c>
      <c r="I13216" s="3" t="inlineStr">
        <is>
          <t>단독</t>
        </is>
      </c>
      <c r="J13216" s="3" t="inlineStr">
        <is>
          <t>오송읍</t>
        </is>
      </c>
    </row>
    <row r="13217">
      <c r="A13217" s="3" t="n">
        <v>2022</v>
      </c>
      <c r="B13217" s="4" t="n">
        <v>55150</v>
      </c>
      <c r="C13217" s="4" t="n">
        <v>534.9</v>
      </c>
      <c r="D13217" s="4" t="n">
        <v>161.80725</v>
      </c>
      <c r="E13217" s="5" t="n">
        <v>340.8</v>
      </c>
      <c r="F13217" s="3" t="inlineStr">
        <is>
          <t>강내면</t>
        </is>
      </c>
      <c r="G13217" s="3" t="inlineStr">
        <is>
          <t>사곡리</t>
        </is>
      </c>
      <c r="H13217" s="3" t="inlineStr">
        <is>
          <t>단독다가구</t>
        </is>
      </c>
      <c r="I13217" s="3" t="inlineStr">
        <is>
          <t>단독</t>
        </is>
      </c>
      <c r="J13217" s="3" t="inlineStr">
        <is>
          <t>강내면</t>
        </is>
      </c>
    </row>
    <row r="13218">
      <c r="A13218" s="3" t="n">
        <v>2022</v>
      </c>
      <c r="B13218" s="4" t="n">
        <v>22900</v>
      </c>
      <c r="C13218" s="4" t="n">
        <v>601</v>
      </c>
      <c r="D13218" s="4" t="n">
        <v>181.8025</v>
      </c>
      <c r="E13218" s="5" t="n">
        <v>126</v>
      </c>
      <c r="F13218" s="3" t="inlineStr">
        <is>
          <t>강내면</t>
        </is>
      </c>
      <c r="G13218" s="3" t="inlineStr">
        <is>
          <t>당곡리</t>
        </is>
      </c>
      <c r="H13218" s="3" t="inlineStr">
        <is>
          <t>단독다가구</t>
        </is>
      </c>
      <c r="I13218" s="3" t="inlineStr">
        <is>
          <t>단독</t>
        </is>
      </c>
      <c r="J13218" s="3" t="inlineStr">
        <is>
          <t>강내면</t>
        </is>
      </c>
    </row>
    <row r="13219">
      <c r="A13219" s="3" t="n">
        <v>2023</v>
      </c>
      <c r="B13219" s="4" t="n">
        <v>49540</v>
      </c>
      <c r="C13219" s="4" t="n">
        <v>697</v>
      </c>
      <c r="D13219" s="4" t="n">
        <v>210.8425</v>
      </c>
      <c r="E13219" s="5" t="n">
        <v>235</v>
      </c>
      <c r="F13219" s="3" t="inlineStr">
        <is>
          <t>강내면</t>
        </is>
      </c>
      <c r="G13219" s="3" t="inlineStr">
        <is>
          <t>석화리</t>
        </is>
      </c>
      <c r="H13219" s="3" t="inlineStr">
        <is>
          <t>단독다가구</t>
        </is>
      </c>
      <c r="I13219" s="3" t="inlineStr">
        <is>
          <t>단독</t>
        </is>
      </c>
      <c r="J13219" s="3" t="inlineStr">
        <is>
          <t>강내면</t>
        </is>
      </c>
    </row>
    <row r="13220">
      <c r="A13220" s="3" t="n">
        <v>2023</v>
      </c>
      <c r="B13220" s="4" t="n">
        <v>24050</v>
      </c>
      <c r="C13220" s="4" t="n">
        <v>487</v>
      </c>
      <c r="D13220" s="4" t="n">
        <v>147.3175</v>
      </c>
      <c r="E13220" s="5" t="n">
        <v>163.3</v>
      </c>
      <c r="F13220" s="3" t="inlineStr">
        <is>
          <t>오송읍</t>
        </is>
      </c>
      <c r="G13220" s="3" t="inlineStr">
        <is>
          <t>상정리</t>
        </is>
      </c>
      <c r="H13220" s="3" t="inlineStr">
        <is>
          <t>단독다가구</t>
        </is>
      </c>
      <c r="I13220" s="3" t="inlineStr">
        <is>
          <t>단독</t>
        </is>
      </c>
      <c r="J13220" s="3" t="inlineStr">
        <is>
          <t>오송읍</t>
        </is>
      </c>
    </row>
    <row r="13221">
      <c r="A13221" s="3" t="n">
        <v>2023</v>
      </c>
      <c r="B13221" s="4" t="n">
        <v>64816</v>
      </c>
      <c r="C13221" s="4" t="n">
        <v>708</v>
      </c>
      <c r="D13221" s="4" t="n">
        <v>214.17</v>
      </c>
      <c r="E13221" s="5" t="n">
        <v>302.6</v>
      </c>
      <c r="F13221" s="3" t="inlineStr">
        <is>
          <t>강내면</t>
        </is>
      </c>
      <c r="G13221" s="3" t="inlineStr">
        <is>
          <t>궁현리</t>
        </is>
      </c>
      <c r="H13221" s="3" t="inlineStr">
        <is>
          <t>단독다가구</t>
        </is>
      </c>
      <c r="I13221" s="3" t="inlineStr">
        <is>
          <t>단독</t>
        </is>
      </c>
      <c r="J13221" s="3" t="inlineStr">
        <is>
          <t>강내면</t>
        </is>
      </c>
    </row>
    <row r="13222">
      <c r="A13222" s="3" t="n">
        <v>2023</v>
      </c>
      <c r="B13222" s="4" t="n">
        <v>72000</v>
      </c>
      <c r="C13222" s="4" t="n">
        <v>258.3</v>
      </c>
      <c r="D13222" s="4" t="n">
        <v>78.13575</v>
      </c>
      <c r="E13222" s="5" t="n">
        <v>921.5</v>
      </c>
      <c r="F13222" s="3" t="inlineStr">
        <is>
          <t>오송읍</t>
        </is>
      </c>
      <c r="G13222" s="3" t="inlineStr">
        <is>
          <t>만수리</t>
        </is>
      </c>
      <c r="H13222" s="3" t="inlineStr">
        <is>
          <t>단독다가구</t>
        </is>
      </c>
      <c r="I13222" s="3" t="inlineStr">
        <is>
          <t>다가구</t>
        </is>
      </c>
      <c r="J13222" s="3" t="inlineStr">
        <is>
          <t>오송읍</t>
        </is>
      </c>
    </row>
    <row r="13223">
      <c r="A13223" s="3" t="n">
        <v>2023</v>
      </c>
      <c r="B13223" s="4" t="n">
        <v>23000</v>
      </c>
      <c r="C13223" s="4" t="n">
        <v>238</v>
      </c>
      <c r="D13223" s="4" t="n">
        <v>71.995</v>
      </c>
      <c r="E13223" s="5" t="n">
        <v>319.5</v>
      </c>
      <c r="F13223" s="3" t="inlineStr">
        <is>
          <t>오송읍</t>
        </is>
      </c>
      <c r="G13223" s="3" t="inlineStr">
        <is>
          <t>동평리</t>
        </is>
      </c>
      <c r="H13223" s="3" t="inlineStr">
        <is>
          <t>단독다가구</t>
        </is>
      </c>
      <c r="I13223" s="3" t="inlineStr">
        <is>
          <t>단독</t>
        </is>
      </c>
      <c r="J13223" s="3" t="inlineStr">
        <is>
          <t>오송읍</t>
        </is>
      </c>
    </row>
    <row r="13224">
      <c r="A13224" s="3" t="n">
        <v>2023</v>
      </c>
      <c r="B13224" s="4" t="n">
        <v>27790</v>
      </c>
      <c r="C13224" s="4" t="n">
        <v>617</v>
      </c>
      <c r="D13224" s="4" t="n">
        <v>186.6425</v>
      </c>
      <c r="E13224" s="5" t="n">
        <v>148.9</v>
      </c>
      <c r="F13224" s="3" t="inlineStr">
        <is>
          <t>오송읍</t>
        </is>
      </c>
      <c r="G13224" s="3" t="inlineStr">
        <is>
          <t>상정리</t>
        </is>
      </c>
      <c r="H13224" s="3" t="inlineStr">
        <is>
          <t>단독다가구</t>
        </is>
      </c>
      <c r="I13224" s="3" t="inlineStr">
        <is>
          <t>단독</t>
        </is>
      </c>
      <c r="J13224" s="3" t="inlineStr">
        <is>
          <t>오송읍</t>
        </is>
      </c>
    </row>
    <row r="13225">
      <c r="A13225" s="3" t="n">
        <v>2023</v>
      </c>
      <c r="B13225" s="4" t="n">
        <v>69500</v>
      </c>
      <c r="C13225" s="4" t="n">
        <v>276.9</v>
      </c>
      <c r="D13225" s="4" t="n">
        <v>83.76224999999999</v>
      </c>
      <c r="E13225" s="5" t="n">
        <v>829.7</v>
      </c>
      <c r="F13225" s="3" t="inlineStr">
        <is>
          <t>오송읍</t>
        </is>
      </c>
      <c r="G13225" s="3" t="inlineStr">
        <is>
          <t>만수리</t>
        </is>
      </c>
      <c r="H13225" s="3" t="inlineStr">
        <is>
          <t>단독다가구</t>
        </is>
      </c>
      <c r="I13225" s="3" t="inlineStr">
        <is>
          <t>다가구</t>
        </is>
      </c>
      <c r="J13225" s="3" t="inlineStr">
        <is>
          <t>오송읍</t>
        </is>
      </c>
    </row>
    <row r="13226">
      <c r="A13226" s="3" t="n">
        <v>2023</v>
      </c>
      <c r="B13226" s="4" t="n">
        <v>11200</v>
      </c>
      <c r="C13226" s="4" t="n">
        <v>145</v>
      </c>
      <c r="D13226" s="4" t="n">
        <v>43.8625</v>
      </c>
      <c r="E13226" s="5" t="n">
        <v>255.3</v>
      </c>
      <c r="F13226" s="3" t="inlineStr">
        <is>
          <t>오송읍</t>
        </is>
      </c>
      <c r="G13226" s="3" t="inlineStr">
        <is>
          <t>정중리</t>
        </is>
      </c>
      <c r="H13226" s="3" t="inlineStr">
        <is>
          <t>단독다가구</t>
        </is>
      </c>
      <c r="I13226" s="3" t="inlineStr">
        <is>
          <t>단독</t>
        </is>
      </c>
      <c r="J13226" s="3" t="inlineStr">
        <is>
          <t>오송읍</t>
        </is>
      </c>
    </row>
    <row r="13227">
      <c r="A13227" s="3" t="n">
        <v>2023</v>
      </c>
      <c r="B13227" s="4" t="n">
        <v>77500</v>
      </c>
      <c r="C13227" s="4" t="n">
        <v>280.7</v>
      </c>
      <c r="D13227" s="4" t="n">
        <v>84.91175</v>
      </c>
      <c r="E13227" s="5" t="n">
        <v>912.7</v>
      </c>
      <c r="F13227" s="3" t="inlineStr">
        <is>
          <t>오송읍</t>
        </is>
      </c>
      <c r="G13227" s="3" t="inlineStr">
        <is>
          <t>만수리</t>
        </is>
      </c>
      <c r="H13227" s="3" t="inlineStr">
        <is>
          <t>단독다가구</t>
        </is>
      </c>
      <c r="I13227" s="3" t="inlineStr">
        <is>
          <t>다가구</t>
        </is>
      </c>
      <c r="J13227" s="3" t="inlineStr">
        <is>
          <t>오송읍</t>
        </is>
      </c>
    </row>
    <row r="13228">
      <c r="A13228" s="3" t="n">
        <v>2023</v>
      </c>
      <c r="B13228" s="4" t="n">
        <v>49000</v>
      </c>
      <c r="C13228" s="4" t="n">
        <v>638</v>
      </c>
      <c r="D13228" s="4" t="n">
        <v>192.995</v>
      </c>
      <c r="E13228" s="5" t="n">
        <v>253.9</v>
      </c>
      <c r="F13228" s="3" t="inlineStr">
        <is>
          <t>오송읍</t>
        </is>
      </c>
      <c r="G13228" s="3" t="inlineStr">
        <is>
          <t>정중리</t>
        </is>
      </c>
      <c r="H13228" s="3" t="inlineStr">
        <is>
          <t>단독다가구</t>
        </is>
      </c>
      <c r="I13228" s="3" t="inlineStr">
        <is>
          <t>단독</t>
        </is>
      </c>
      <c r="J13228" s="3" t="inlineStr">
        <is>
          <t>오송읍</t>
        </is>
      </c>
    </row>
    <row r="13229">
      <c r="A13229" s="3" t="n">
        <v>2024</v>
      </c>
      <c r="B13229" s="4" t="n">
        <v>37000</v>
      </c>
      <c r="C13229" s="4" t="n">
        <v>798</v>
      </c>
      <c r="D13229" s="4" t="n">
        <v>241.395</v>
      </c>
      <c r="E13229" s="5" t="n">
        <v>153.3</v>
      </c>
      <c r="F13229" s="3" t="inlineStr">
        <is>
          <t>유구읍</t>
        </is>
      </c>
      <c r="G13229" s="3" t="inlineStr">
        <is>
          <t>유구리</t>
        </is>
      </c>
      <c r="H13229" s="3" t="inlineStr">
        <is>
          <t>단독다가구</t>
        </is>
      </c>
      <c r="I13229" s="3" t="inlineStr">
        <is>
          <t>단독</t>
        </is>
      </c>
      <c r="J13229" s="3" t="inlineStr">
        <is>
          <t>유구읍</t>
        </is>
      </c>
    </row>
    <row r="13230">
      <c r="A13230" s="3" t="n">
        <v>2023</v>
      </c>
      <c r="B13230" s="4" t="n">
        <v>74580</v>
      </c>
      <c r="C13230" s="4" t="n">
        <v>256.5</v>
      </c>
      <c r="D13230" s="4" t="n">
        <v>77.59125</v>
      </c>
      <c r="E13230" s="5" t="n">
        <v>961.2</v>
      </c>
      <c r="F13230" s="3" t="inlineStr">
        <is>
          <t>고운동</t>
        </is>
      </c>
      <c r="G13230" s="3" t="inlineStr"/>
      <c r="H13230" s="3" t="inlineStr">
        <is>
          <t>단독다가구</t>
        </is>
      </c>
      <c r="I13230" s="3" t="inlineStr">
        <is>
          <t>단독</t>
        </is>
      </c>
      <c r="J13230" s="3" t="inlineStr">
        <is>
          <t>고운동</t>
        </is>
      </c>
    </row>
    <row r="13231">
      <c r="A13231" s="3" t="n">
        <v>2023</v>
      </c>
      <c r="B13231" s="4" t="n">
        <v>110000</v>
      </c>
      <c r="C13231" s="4" t="n">
        <v>410</v>
      </c>
      <c r="D13231" s="4" t="n">
        <v>124.025</v>
      </c>
      <c r="E13231" s="5" t="n">
        <v>886.9</v>
      </c>
      <c r="F13231" s="3" t="inlineStr">
        <is>
          <t>조치원읍</t>
        </is>
      </c>
      <c r="G13231" s="3" t="inlineStr">
        <is>
          <t>신안리</t>
        </is>
      </c>
      <c r="H13231" s="3" t="inlineStr">
        <is>
          <t>단독다가구</t>
        </is>
      </c>
      <c r="I13231" s="3" t="inlineStr">
        <is>
          <t>다가구</t>
        </is>
      </c>
      <c r="J13231" s="3" t="inlineStr">
        <is>
          <t>조치원읍</t>
        </is>
      </c>
    </row>
    <row r="13232">
      <c r="A13232" s="3" t="n">
        <v>2023</v>
      </c>
      <c r="B13232" s="4" t="n">
        <v>110000</v>
      </c>
      <c r="C13232" s="4" t="n">
        <v>410</v>
      </c>
      <c r="D13232" s="4" t="n">
        <v>124.025</v>
      </c>
      <c r="E13232" s="5" t="n">
        <v>886.9</v>
      </c>
      <c r="F13232" s="3" t="inlineStr">
        <is>
          <t>조치원읍</t>
        </is>
      </c>
      <c r="G13232" s="3" t="inlineStr">
        <is>
          <t>신안리</t>
        </is>
      </c>
      <c r="H13232" s="3" t="inlineStr">
        <is>
          <t>단독다가구</t>
        </is>
      </c>
      <c r="I13232" s="3" t="inlineStr">
        <is>
          <t>다가구</t>
        </is>
      </c>
      <c r="J13232" s="3" t="inlineStr">
        <is>
          <t>조치원읍</t>
        </is>
      </c>
    </row>
    <row r="13233">
      <c r="A13233" s="3" t="n">
        <v>2023</v>
      </c>
      <c r="B13233" s="4" t="n">
        <v>52500</v>
      </c>
      <c r="C13233" s="4" t="n">
        <v>412</v>
      </c>
      <c r="D13233" s="4" t="n">
        <v>124.63</v>
      </c>
      <c r="E13233" s="5" t="n">
        <v>421.2</v>
      </c>
      <c r="F13233" s="3" t="inlineStr">
        <is>
          <t>연동면</t>
        </is>
      </c>
      <c r="G13233" s="3" t="inlineStr">
        <is>
          <t>문주리</t>
        </is>
      </c>
      <c r="H13233" s="3" t="inlineStr">
        <is>
          <t>단독다가구</t>
        </is>
      </c>
      <c r="I13233" s="3" t="inlineStr">
        <is>
          <t>단독</t>
        </is>
      </c>
      <c r="J13233" s="3" t="inlineStr">
        <is>
          <t>연동면</t>
        </is>
      </c>
    </row>
    <row r="13234">
      <c r="A13234" s="3" t="n">
        <v>2023</v>
      </c>
      <c r="B13234" s="4" t="n">
        <v>17000</v>
      </c>
      <c r="C13234" s="4" t="n">
        <v>187</v>
      </c>
      <c r="D13234" s="4" t="n">
        <v>56.5675</v>
      </c>
      <c r="E13234" s="5" t="n">
        <v>300.5</v>
      </c>
      <c r="F13234" s="3" t="inlineStr">
        <is>
          <t>조치원읍</t>
        </is>
      </c>
      <c r="G13234" s="3" t="inlineStr">
        <is>
          <t>원리</t>
        </is>
      </c>
      <c r="H13234" s="3" t="inlineStr">
        <is>
          <t>단독다가구</t>
        </is>
      </c>
      <c r="I13234" s="3" t="inlineStr">
        <is>
          <t>단독</t>
        </is>
      </c>
      <c r="J13234" s="3" t="inlineStr">
        <is>
          <t>조치원읍</t>
        </is>
      </c>
    </row>
    <row r="13235">
      <c r="A13235" s="3" t="n">
        <v>2023</v>
      </c>
      <c r="B13235" s="4" t="n">
        <v>52500</v>
      </c>
      <c r="C13235" s="4" t="n">
        <v>412</v>
      </c>
      <c r="D13235" s="4" t="n">
        <v>124.63</v>
      </c>
      <c r="E13235" s="5" t="n">
        <v>421.2</v>
      </c>
      <c r="F13235" s="3" t="inlineStr">
        <is>
          <t>연동면</t>
        </is>
      </c>
      <c r="G13235" s="3" t="inlineStr">
        <is>
          <t>문주리</t>
        </is>
      </c>
      <c r="H13235" s="3" t="inlineStr">
        <is>
          <t>단독다가구</t>
        </is>
      </c>
      <c r="I13235" s="3" t="inlineStr">
        <is>
          <t>단독</t>
        </is>
      </c>
      <c r="J13235" s="3" t="inlineStr">
        <is>
          <t>연동면</t>
        </is>
      </c>
    </row>
    <row r="13236">
      <c r="A13236" s="3" t="n">
        <v>2023</v>
      </c>
      <c r="B13236" s="4" t="n">
        <v>85000</v>
      </c>
      <c r="C13236" s="4" t="n">
        <v>367.772</v>
      </c>
      <c r="D13236" s="4" t="n">
        <v>111.25103</v>
      </c>
      <c r="E13236" s="5" t="n">
        <v>764</v>
      </c>
      <c r="F13236" s="3" t="inlineStr">
        <is>
          <t>고운동</t>
        </is>
      </c>
      <c r="G13236" s="3" t="inlineStr"/>
      <c r="H13236" s="3" t="inlineStr">
        <is>
          <t>단독다가구</t>
        </is>
      </c>
      <c r="I13236" s="3" t="inlineStr">
        <is>
          <t>단독</t>
        </is>
      </c>
      <c r="J13236" s="3" t="inlineStr">
        <is>
          <t>고운동</t>
        </is>
      </c>
    </row>
    <row r="13237">
      <c r="A13237" s="3" t="n">
        <v>2023</v>
      </c>
      <c r="B13237" s="4" t="n">
        <v>14000</v>
      </c>
      <c r="C13237" s="4" t="n">
        <v>79</v>
      </c>
      <c r="D13237" s="4" t="n">
        <v>23.8975</v>
      </c>
      <c r="E13237" s="5" t="n">
        <v>585.8</v>
      </c>
      <c r="F13237" s="3" t="inlineStr">
        <is>
          <t>조치원읍</t>
        </is>
      </c>
      <c r="G13237" s="3" t="inlineStr">
        <is>
          <t>상리</t>
        </is>
      </c>
      <c r="H13237" s="3" t="inlineStr">
        <is>
          <t>단독다가구</t>
        </is>
      </c>
      <c r="I13237" s="3" t="inlineStr">
        <is>
          <t>단독</t>
        </is>
      </c>
      <c r="J13237" s="3" t="inlineStr">
        <is>
          <t>조치원읍</t>
        </is>
      </c>
    </row>
    <row r="13238">
      <c r="A13238" s="3" t="n">
        <v>2023</v>
      </c>
      <c r="B13238" s="4" t="n">
        <v>50000</v>
      </c>
      <c r="C13238" s="4" t="n">
        <v>650</v>
      </c>
      <c r="D13238" s="4" t="n">
        <v>196.625</v>
      </c>
      <c r="E13238" s="5" t="n">
        <v>254.3</v>
      </c>
      <c r="F13238" s="3" t="inlineStr">
        <is>
          <t>전동면</t>
        </is>
      </c>
      <c r="G13238" s="3" t="inlineStr">
        <is>
          <t>송정리</t>
        </is>
      </c>
      <c r="H13238" s="3" t="inlineStr">
        <is>
          <t>단독다가구</t>
        </is>
      </c>
      <c r="I13238" s="3" t="inlineStr">
        <is>
          <t>단독</t>
        </is>
      </c>
      <c r="J13238" s="3" t="inlineStr">
        <is>
          <t>전동면</t>
        </is>
      </c>
    </row>
    <row r="13239">
      <c r="A13239" s="3" t="n">
        <v>2023</v>
      </c>
      <c r="B13239" s="4" t="n">
        <v>44685</v>
      </c>
      <c r="C13239" s="4" t="n">
        <v>795</v>
      </c>
      <c r="D13239" s="4" t="n">
        <v>240.4875</v>
      </c>
      <c r="E13239" s="5" t="n">
        <v>185.8</v>
      </c>
      <c r="F13239" s="3" t="inlineStr">
        <is>
          <t>장군면</t>
        </is>
      </c>
      <c r="G13239" s="3" t="inlineStr">
        <is>
          <t>송문리</t>
        </is>
      </c>
      <c r="H13239" s="3" t="inlineStr">
        <is>
          <t>단독다가구</t>
        </is>
      </c>
      <c r="I13239" s="3" t="inlineStr">
        <is>
          <t>단독</t>
        </is>
      </c>
      <c r="J13239" s="3" t="inlineStr">
        <is>
          <t>장군면</t>
        </is>
      </c>
    </row>
    <row r="13240">
      <c r="A13240" s="3" t="n">
        <v>2023</v>
      </c>
      <c r="B13240" s="4" t="n">
        <v>28500</v>
      </c>
      <c r="C13240" s="4" t="n">
        <v>660</v>
      </c>
      <c r="D13240" s="4" t="n">
        <v>199.65</v>
      </c>
      <c r="E13240" s="5" t="n">
        <v>142.7</v>
      </c>
      <c r="F13240" s="3" t="inlineStr">
        <is>
          <t>연동면</t>
        </is>
      </c>
      <c r="G13240" s="3" t="inlineStr">
        <is>
          <t>내판리</t>
        </is>
      </c>
      <c r="H13240" s="3" t="inlineStr">
        <is>
          <t>단독다가구</t>
        </is>
      </c>
      <c r="I13240" s="3" t="inlineStr">
        <is>
          <t>단독</t>
        </is>
      </c>
      <c r="J13240" s="3" t="inlineStr">
        <is>
          <t>연동면</t>
        </is>
      </c>
    </row>
    <row r="13241">
      <c r="A13241" s="3" t="n">
        <v>2023</v>
      </c>
      <c r="B13241" s="4" t="n">
        <v>30000</v>
      </c>
      <c r="C13241" s="4" t="n">
        <v>532</v>
      </c>
      <c r="D13241" s="4" t="n">
        <v>160.93</v>
      </c>
      <c r="E13241" s="5" t="n">
        <v>186.4</v>
      </c>
      <c r="F13241" s="3" t="inlineStr">
        <is>
          <t>연서면</t>
        </is>
      </c>
      <c r="G13241" s="3" t="inlineStr">
        <is>
          <t>월하리</t>
        </is>
      </c>
      <c r="H13241" s="3" t="inlineStr">
        <is>
          <t>단독다가구</t>
        </is>
      </c>
      <c r="I13241" s="3" t="inlineStr">
        <is>
          <t>단독</t>
        </is>
      </c>
      <c r="J13241" s="3" t="inlineStr">
        <is>
          <t>연서면</t>
        </is>
      </c>
    </row>
    <row r="13242">
      <c r="A13242" s="3" t="n">
        <v>2023</v>
      </c>
      <c r="B13242" s="4" t="n">
        <v>24500</v>
      </c>
      <c r="C13242" s="4" t="n">
        <v>319</v>
      </c>
      <c r="D13242" s="4" t="n">
        <v>96.4975</v>
      </c>
      <c r="E13242" s="5" t="n">
        <v>253.9</v>
      </c>
      <c r="F13242" s="3" t="inlineStr">
        <is>
          <t>연동면</t>
        </is>
      </c>
      <c r="G13242" s="3" t="inlineStr">
        <is>
          <t>예양리</t>
        </is>
      </c>
      <c r="H13242" s="3" t="inlineStr">
        <is>
          <t>단독다가구</t>
        </is>
      </c>
      <c r="I13242" s="3" t="inlineStr">
        <is>
          <t>단독</t>
        </is>
      </c>
      <c r="J13242" s="3" t="inlineStr">
        <is>
          <t>연동면</t>
        </is>
      </c>
    </row>
    <row r="13243">
      <c r="A13243" s="3" t="n">
        <v>2024</v>
      </c>
      <c r="B13243" s="4" t="n">
        <v>28800</v>
      </c>
      <c r="C13243" s="4" t="n">
        <v>588</v>
      </c>
      <c r="D13243" s="4" t="n">
        <v>177.87</v>
      </c>
      <c r="E13243" s="5" t="n">
        <v>161.9</v>
      </c>
      <c r="F13243" s="3" t="inlineStr">
        <is>
          <t>유구읍</t>
        </is>
      </c>
      <c r="G13243" s="3" t="inlineStr">
        <is>
          <t>문금리</t>
        </is>
      </c>
      <c r="H13243" s="3" t="inlineStr">
        <is>
          <t>단독다가구</t>
        </is>
      </c>
      <c r="I13243" s="3" t="inlineStr">
        <is>
          <t>단독</t>
        </is>
      </c>
      <c r="J13243" s="3" t="inlineStr">
        <is>
          <t>유구읍</t>
        </is>
      </c>
    </row>
    <row r="13244">
      <c r="A13244" s="3" t="n">
        <v>2024</v>
      </c>
      <c r="B13244" s="4" t="n">
        <v>23400</v>
      </c>
      <c r="C13244" s="4" t="n">
        <v>213</v>
      </c>
      <c r="D13244" s="4" t="n">
        <v>64.4325</v>
      </c>
      <c r="E13244" s="5" t="n">
        <v>363.2</v>
      </c>
      <c r="F13244" s="3" t="inlineStr">
        <is>
          <t>유구읍</t>
        </is>
      </c>
      <c r="G13244" s="3" t="inlineStr">
        <is>
          <t>석남리</t>
        </is>
      </c>
      <c r="H13244" s="3" t="inlineStr">
        <is>
          <t>단독다가구</t>
        </is>
      </c>
      <c r="I13244" s="3" t="inlineStr">
        <is>
          <t>단독</t>
        </is>
      </c>
      <c r="J13244" s="3" t="inlineStr">
        <is>
          <t>유구읍</t>
        </is>
      </c>
    </row>
    <row r="13245">
      <c r="A13245" s="3" t="n">
        <v>2022</v>
      </c>
      <c r="B13245" s="4" t="n">
        <v>3500</v>
      </c>
      <c r="C13245" s="4" t="n">
        <v>257</v>
      </c>
      <c r="D13245" s="4" t="n">
        <v>77.74249999999999</v>
      </c>
      <c r="E13245" s="5" t="n">
        <v>45</v>
      </c>
      <c r="F13245" s="3" t="inlineStr">
        <is>
          <t>유구읍</t>
        </is>
      </c>
      <c r="G13245" s="3" t="inlineStr">
        <is>
          <t>구계리</t>
        </is>
      </c>
      <c r="H13245" s="3" t="inlineStr">
        <is>
          <t>단독다가구</t>
        </is>
      </c>
      <c r="I13245" s="3" t="inlineStr">
        <is>
          <t>단독</t>
        </is>
      </c>
      <c r="J13245" s="3" t="inlineStr">
        <is>
          <t>유구읍</t>
        </is>
      </c>
    </row>
    <row r="13246">
      <c r="A13246" s="3" t="n">
        <v>2022</v>
      </c>
      <c r="B13246" s="4" t="n">
        <v>21000</v>
      </c>
      <c r="C13246" s="4" t="n">
        <v>1018</v>
      </c>
      <c r="D13246" s="4" t="n">
        <v>307.945</v>
      </c>
      <c r="E13246" s="5" t="n">
        <v>68.2</v>
      </c>
      <c r="F13246" s="3" t="inlineStr">
        <is>
          <t>유구읍</t>
        </is>
      </c>
      <c r="G13246" s="3" t="inlineStr">
        <is>
          <t>문금리</t>
        </is>
      </c>
      <c r="H13246" s="3" t="inlineStr">
        <is>
          <t>단독다가구</t>
        </is>
      </c>
      <c r="I13246" s="3" t="inlineStr">
        <is>
          <t>단독</t>
        </is>
      </c>
      <c r="J13246" s="3" t="inlineStr">
        <is>
          <t>유구읍</t>
        </is>
      </c>
    </row>
    <row r="13247">
      <c r="A13247" s="3" t="n">
        <v>2022</v>
      </c>
      <c r="B13247" s="4" t="n">
        <v>23000</v>
      </c>
      <c r="C13247" s="4" t="n">
        <v>315</v>
      </c>
      <c r="D13247" s="4" t="n">
        <v>95.28749999999999</v>
      </c>
      <c r="E13247" s="5" t="n">
        <v>241.4</v>
      </c>
      <c r="F13247" s="3" t="inlineStr">
        <is>
          <t>유구읍</t>
        </is>
      </c>
      <c r="G13247" s="3" t="inlineStr">
        <is>
          <t>유구리</t>
        </is>
      </c>
      <c r="H13247" s="3" t="inlineStr">
        <is>
          <t>단독다가구</t>
        </is>
      </c>
      <c r="I13247" s="3" t="inlineStr">
        <is>
          <t>단독</t>
        </is>
      </c>
      <c r="J13247" s="3" t="inlineStr">
        <is>
          <t>유구읍</t>
        </is>
      </c>
    </row>
    <row r="13248">
      <c r="A13248" s="3" t="n">
        <v>2022</v>
      </c>
      <c r="B13248" s="4" t="n">
        <v>10200</v>
      </c>
      <c r="C13248" s="4" t="n">
        <v>440</v>
      </c>
      <c r="D13248" s="4" t="n">
        <v>133.1</v>
      </c>
      <c r="E13248" s="5" t="n">
        <v>76.59999999999999</v>
      </c>
      <c r="F13248" s="3" t="inlineStr">
        <is>
          <t>유구읍</t>
        </is>
      </c>
      <c r="G13248" s="3" t="inlineStr">
        <is>
          <t>백교리</t>
        </is>
      </c>
      <c r="H13248" s="3" t="inlineStr">
        <is>
          <t>단독다가구</t>
        </is>
      </c>
      <c r="I13248" s="3" t="inlineStr">
        <is>
          <t>단독</t>
        </is>
      </c>
      <c r="J13248" s="3" t="inlineStr">
        <is>
          <t>유구읍</t>
        </is>
      </c>
    </row>
    <row r="13249">
      <c r="A13249" s="3" t="n">
        <v>2022</v>
      </c>
      <c r="B13249" s="4" t="n">
        <v>2100</v>
      </c>
      <c r="C13249" s="4" t="n">
        <v>154.3333</v>
      </c>
      <c r="D13249" s="4" t="n">
        <v>46.68582325</v>
      </c>
      <c r="E13249" s="5" t="n">
        <v>45</v>
      </c>
      <c r="F13249" s="3" t="inlineStr">
        <is>
          <t>유구읍</t>
        </is>
      </c>
      <c r="G13249" s="3" t="inlineStr">
        <is>
          <t>세동리</t>
        </is>
      </c>
      <c r="H13249" s="3" t="inlineStr">
        <is>
          <t>단독다가구</t>
        </is>
      </c>
      <c r="I13249" s="3" t="inlineStr">
        <is>
          <t>단독</t>
        </is>
      </c>
      <c r="J13249" s="3" t="inlineStr">
        <is>
          <t>유구읍</t>
        </is>
      </c>
    </row>
    <row r="13250">
      <c r="A13250" s="3" t="n">
        <v>2022</v>
      </c>
      <c r="B13250" s="4" t="n">
        <v>3700</v>
      </c>
      <c r="C13250" s="4" t="n">
        <v>139</v>
      </c>
      <c r="D13250" s="4" t="n">
        <v>42.0475</v>
      </c>
      <c r="E13250" s="5" t="n">
        <v>88</v>
      </c>
      <c r="F13250" s="3" t="inlineStr">
        <is>
          <t>유구읍</t>
        </is>
      </c>
      <c r="G13250" s="3" t="inlineStr">
        <is>
          <t>녹천리</t>
        </is>
      </c>
      <c r="H13250" s="3" t="inlineStr">
        <is>
          <t>단독다가구</t>
        </is>
      </c>
      <c r="I13250" s="3" t="inlineStr">
        <is>
          <t>단독</t>
        </is>
      </c>
      <c r="J13250" s="3" t="inlineStr">
        <is>
          <t>유구읍</t>
        </is>
      </c>
    </row>
    <row r="13251">
      <c r="A13251" s="3" t="n">
        <v>2022</v>
      </c>
      <c r="B13251" s="4" t="n">
        <v>4500</v>
      </c>
      <c r="C13251" s="4" t="n">
        <v>200</v>
      </c>
      <c r="D13251" s="4" t="n">
        <v>60.5</v>
      </c>
      <c r="E13251" s="5" t="n">
        <v>74.40000000000001</v>
      </c>
      <c r="F13251" s="3" t="inlineStr">
        <is>
          <t>유구읍</t>
        </is>
      </c>
      <c r="G13251" s="3" t="inlineStr">
        <is>
          <t>유구리</t>
        </is>
      </c>
      <c r="H13251" s="3" t="inlineStr">
        <is>
          <t>단독다가구</t>
        </is>
      </c>
      <c r="I13251" s="3" t="inlineStr">
        <is>
          <t>단독</t>
        </is>
      </c>
      <c r="J13251" s="3" t="inlineStr">
        <is>
          <t>유구읍</t>
        </is>
      </c>
    </row>
    <row r="13252">
      <c r="A13252" s="3" t="n">
        <v>2024</v>
      </c>
      <c r="B13252" s="4" t="n">
        <v>11500</v>
      </c>
      <c r="C13252" s="4" t="n">
        <v>300</v>
      </c>
      <c r="D13252" s="4" t="n">
        <v>90.75</v>
      </c>
      <c r="E13252" s="5" t="n">
        <v>126.7</v>
      </c>
      <c r="F13252" s="3" t="inlineStr">
        <is>
          <t>유구읍</t>
        </is>
      </c>
      <c r="G13252" s="3" t="inlineStr">
        <is>
          <t>석남리</t>
        </is>
      </c>
      <c r="H13252" s="3" t="inlineStr">
        <is>
          <t>단독다가구</t>
        </is>
      </c>
      <c r="I13252" s="3" t="inlineStr">
        <is>
          <t>단독</t>
        </is>
      </c>
      <c r="J13252" s="3" t="inlineStr">
        <is>
          <t>유구읍</t>
        </is>
      </c>
    </row>
    <row r="13253">
      <c r="A13253" s="3" t="n">
        <v>2025</v>
      </c>
      <c r="B13253" s="4" t="n">
        <v>10050</v>
      </c>
      <c r="C13253" s="4" t="n">
        <v>101</v>
      </c>
      <c r="D13253" s="4" t="n">
        <v>30.5525</v>
      </c>
      <c r="E13253" s="5" t="n">
        <v>328.9</v>
      </c>
      <c r="F13253" s="3" t="inlineStr">
        <is>
          <t>유구읍</t>
        </is>
      </c>
      <c r="G13253" s="3" t="inlineStr">
        <is>
          <t>유구리</t>
        </is>
      </c>
      <c r="H13253" s="3" t="inlineStr">
        <is>
          <t>단독다가구</t>
        </is>
      </c>
      <c r="I13253" s="3" t="inlineStr">
        <is>
          <t>단독</t>
        </is>
      </c>
      <c r="J13253" s="3" t="inlineStr">
        <is>
          <t>유구읍</t>
        </is>
      </c>
    </row>
    <row r="13254">
      <c r="A13254" s="3" t="n">
        <v>2023</v>
      </c>
      <c r="B13254" s="4" t="n">
        <v>23500</v>
      </c>
      <c r="C13254" s="4" t="n">
        <v>124</v>
      </c>
      <c r="D13254" s="4" t="n">
        <v>37.51</v>
      </c>
      <c r="E13254" s="5" t="n">
        <v>626.5</v>
      </c>
      <c r="F13254" s="3" t="inlineStr">
        <is>
          <t>조치원읍</t>
        </is>
      </c>
      <c r="G13254" s="3" t="inlineStr">
        <is>
          <t>신흥리</t>
        </is>
      </c>
      <c r="H13254" s="3" t="inlineStr">
        <is>
          <t>단독다가구</t>
        </is>
      </c>
      <c r="I13254" s="3" t="inlineStr">
        <is>
          <t>단독</t>
        </is>
      </c>
      <c r="J13254" s="3" t="inlineStr">
        <is>
          <t>조치원읍</t>
        </is>
      </c>
    </row>
    <row r="13255">
      <c r="A13255" s="3" t="n">
        <v>2024</v>
      </c>
      <c r="B13255" s="4" t="n">
        <v>10800</v>
      </c>
      <c r="C13255" s="4" t="n">
        <v>358</v>
      </c>
      <c r="D13255" s="4" t="n">
        <v>108.295</v>
      </c>
      <c r="E13255" s="5" t="n">
        <v>99.7</v>
      </c>
      <c r="F13255" s="3" t="inlineStr">
        <is>
          <t>금남면</t>
        </is>
      </c>
      <c r="G13255" s="3" t="inlineStr">
        <is>
          <t>성강리</t>
        </is>
      </c>
      <c r="H13255" s="3" t="inlineStr">
        <is>
          <t>단독다가구</t>
        </is>
      </c>
      <c r="I13255" s="3" t="inlineStr">
        <is>
          <t>단독</t>
        </is>
      </c>
      <c r="J13255" s="3" t="inlineStr">
        <is>
          <t>금남면</t>
        </is>
      </c>
    </row>
    <row r="13256">
      <c r="A13256" s="3" t="n">
        <v>2024</v>
      </c>
      <c r="B13256" s="4" t="n">
        <v>22700</v>
      </c>
      <c r="C13256" s="4" t="n">
        <v>330</v>
      </c>
      <c r="D13256" s="4" t="n">
        <v>99.825</v>
      </c>
      <c r="E13256" s="5" t="n">
        <v>227.4</v>
      </c>
      <c r="F13256" s="3" t="inlineStr">
        <is>
          <t>금남면</t>
        </is>
      </c>
      <c r="G13256" s="3" t="inlineStr">
        <is>
          <t>두만리</t>
        </is>
      </c>
      <c r="H13256" s="3" t="inlineStr">
        <is>
          <t>단독다가구</t>
        </is>
      </c>
      <c r="I13256" s="3" t="inlineStr">
        <is>
          <t>단독</t>
        </is>
      </c>
      <c r="J13256" s="3" t="inlineStr">
        <is>
          <t>금남면</t>
        </is>
      </c>
    </row>
    <row r="13257">
      <c r="A13257" s="3" t="n">
        <v>2024</v>
      </c>
      <c r="B13257" s="4" t="n">
        <v>19000</v>
      </c>
      <c r="C13257" s="4" t="n">
        <v>343</v>
      </c>
      <c r="D13257" s="4" t="n">
        <v>103.7575</v>
      </c>
      <c r="E13257" s="5" t="n">
        <v>183.1</v>
      </c>
      <c r="F13257" s="3" t="inlineStr">
        <is>
          <t>조치원읍</t>
        </is>
      </c>
      <c r="G13257" s="3" t="inlineStr">
        <is>
          <t>신안리</t>
        </is>
      </c>
      <c r="H13257" s="3" t="inlineStr">
        <is>
          <t>단독다가구</t>
        </is>
      </c>
      <c r="I13257" s="3" t="inlineStr">
        <is>
          <t>단독</t>
        </is>
      </c>
      <c r="J13257" s="3" t="inlineStr">
        <is>
          <t>조치원읍</t>
        </is>
      </c>
    </row>
    <row r="13258">
      <c r="A13258" s="3" t="n">
        <v>2024</v>
      </c>
      <c r="B13258" s="4" t="n">
        <v>131000</v>
      </c>
      <c r="C13258" s="4" t="n">
        <v>300.1</v>
      </c>
      <c r="D13258" s="4" t="n">
        <v>90.78025000000001</v>
      </c>
      <c r="E13258" s="5" t="n">
        <v>1443</v>
      </c>
      <c r="F13258" s="3" t="inlineStr">
        <is>
          <t>조치원읍</t>
        </is>
      </c>
      <c r="G13258" s="3" t="inlineStr">
        <is>
          <t>침산리</t>
        </is>
      </c>
      <c r="H13258" s="3" t="inlineStr">
        <is>
          <t>단독다가구</t>
        </is>
      </c>
      <c r="I13258" s="3" t="inlineStr">
        <is>
          <t>다가구</t>
        </is>
      </c>
      <c r="J13258" s="3" t="inlineStr">
        <is>
          <t>조치원읍</t>
        </is>
      </c>
    </row>
    <row r="13259">
      <c r="A13259" s="3" t="n">
        <v>2024</v>
      </c>
      <c r="B13259" s="4" t="n">
        <v>18000</v>
      </c>
      <c r="C13259" s="4" t="n">
        <v>279</v>
      </c>
      <c r="D13259" s="4" t="n">
        <v>84.39749999999999</v>
      </c>
      <c r="E13259" s="5" t="n">
        <v>213.3</v>
      </c>
      <c r="F13259" s="3" t="inlineStr">
        <is>
          <t>조치원읍</t>
        </is>
      </c>
      <c r="G13259" s="3" t="inlineStr">
        <is>
          <t>서창리</t>
        </is>
      </c>
      <c r="H13259" s="3" t="inlineStr">
        <is>
          <t>단독다가구</t>
        </is>
      </c>
      <c r="I13259" s="3" t="inlineStr">
        <is>
          <t>단독</t>
        </is>
      </c>
      <c r="J13259" s="3" t="inlineStr">
        <is>
          <t>조치원읍</t>
        </is>
      </c>
    </row>
    <row r="13260">
      <c r="A13260" s="3" t="n">
        <v>2024</v>
      </c>
      <c r="B13260" s="4" t="n">
        <v>15000</v>
      </c>
      <c r="C13260" s="4" t="n">
        <v>525</v>
      </c>
      <c r="D13260" s="4" t="n">
        <v>158.8125</v>
      </c>
      <c r="E13260" s="5" t="n">
        <v>94.5</v>
      </c>
      <c r="F13260" s="3" t="inlineStr">
        <is>
          <t>장군면</t>
        </is>
      </c>
      <c r="G13260" s="3" t="inlineStr">
        <is>
          <t>용암리</t>
        </is>
      </c>
      <c r="H13260" s="3" t="inlineStr">
        <is>
          <t>단독다가구</t>
        </is>
      </c>
      <c r="I13260" s="3" t="inlineStr">
        <is>
          <t>단독</t>
        </is>
      </c>
      <c r="J13260" s="3" t="inlineStr">
        <is>
          <t>장군면</t>
        </is>
      </c>
    </row>
    <row r="13261">
      <c r="A13261" s="3" t="n">
        <v>2024</v>
      </c>
      <c r="B13261" s="4" t="n">
        <v>20000</v>
      </c>
      <c r="C13261" s="4" t="n">
        <v>660</v>
      </c>
      <c r="D13261" s="4" t="n">
        <v>199.65</v>
      </c>
      <c r="E13261" s="5" t="n">
        <v>100.2</v>
      </c>
      <c r="F13261" s="3" t="inlineStr">
        <is>
          <t>전동면</t>
        </is>
      </c>
      <c r="G13261" s="3" t="inlineStr">
        <is>
          <t>노장리</t>
        </is>
      </c>
      <c r="H13261" s="3" t="inlineStr">
        <is>
          <t>단독다가구</t>
        </is>
      </c>
      <c r="I13261" s="3" t="inlineStr">
        <is>
          <t>단독</t>
        </is>
      </c>
      <c r="J13261" s="3" t="inlineStr">
        <is>
          <t>전동면</t>
        </is>
      </c>
    </row>
    <row r="13262">
      <c r="A13262" s="3" t="n">
        <v>2024</v>
      </c>
      <c r="B13262" s="4" t="n">
        <v>16000</v>
      </c>
      <c r="C13262" s="4" t="n">
        <v>281</v>
      </c>
      <c r="D13262" s="4" t="n">
        <v>85.0025</v>
      </c>
      <c r="E13262" s="5" t="n">
        <v>188.2</v>
      </c>
      <c r="F13262" s="3" t="inlineStr">
        <is>
          <t>부강면</t>
        </is>
      </c>
      <c r="G13262" s="3" t="inlineStr">
        <is>
          <t>금호리</t>
        </is>
      </c>
      <c r="H13262" s="3" t="inlineStr">
        <is>
          <t>단독다가구</t>
        </is>
      </c>
      <c r="I13262" s="3" t="inlineStr">
        <is>
          <t>단독</t>
        </is>
      </c>
      <c r="J13262" s="3" t="inlineStr">
        <is>
          <t>부강면</t>
        </is>
      </c>
    </row>
    <row r="13263">
      <c r="A13263" s="3" t="n">
        <v>2025</v>
      </c>
      <c r="B13263" s="4" t="n">
        <v>12885</v>
      </c>
      <c r="C13263" s="4" t="n">
        <v>393</v>
      </c>
      <c r="D13263" s="4" t="n">
        <v>118.8825</v>
      </c>
      <c r="E13263" s="5" t="n">
        <v>108.4</v>
      </c>
      <c r="F13263" s="3" t="inlineStr">
        <is>
          <t>부강면</t>
        </is>
      </c>
      <c r="G13263" s="3" t="inlineStr">
        <is>
          <t>부강리</t>
        </is>
      </c>
      <c r="H13263" s="3" t="inlineStr">
        <is>
          <t>단독다가구</t>
        </is>
      </c>
      <c r="I13263" s="3" t="inlineStr">
        <is>
          <t>단독</t>
        </is>
      </c>
      <c r="J13263" s="3" t="inlineStr">
        <is>
          <t>부강면</t>
        </is>
      </c>
    </row>
    <row r="13264">
      <c r="A13264" s="3" t="n">
        <v>2025</v>
      </c>
      <c r="B13264" s="4" t="n">
        <v>21000</v>
      </c>
      <c r="C13264" s="4" t="n">
        <v>231</v>
      </c>
      <c r="D13264" s="4" t="n">
        <v>69.8775</v>
      </c>
      <c r="E13264" s="5" t="n">
        <v>300.5</v>
      </c>
      <c r="F13264" s="3" t="inlineStr">
        <is>
          <t>부강면</t>
        </is>
      </c>
      <c r="G13264" s="3" t="inlineStr">
        <is>
          <t>부강리</t>
        </is>
      </c>
      <c r="H13264" s="3" t="inlineStr">
        <is>
          <t>단독다가구</t>
        </is>
      </c>
      <c r="I13264" s="3" t="inlineStr">
        <is>
          <t>단독</t>
        </is>
      </c>
      <c r="J13264" s="3" t="inlineStr">
        <is>
          <t>부강면</t>
        </is>
      </c>
    </row>
    <row r="13265">
      <c r="A13265" s="3" t="n">
        <v>2025</v>
      </c>
      <c r="B13265" s="4" t="n">
        <v>55000</v>
      </c>
      <c r="C13265" s="4" t="n">
        <v>1150</v>
      </c>
      <c r="D13265" s="4" t="n">
        <v>347.875</v>
      </c>
      <c r="E13265" s="5" t="n">
        <v>158.1</v>
      </c>
      <c r="F13265" s="3" t="inlineStr">
        <is>
          <t>연서면</t>
        </is>
      </c>
      <c r="G13265" s="3" t="inlineStr">
        <is>
          <t>성제리</t>
        </is>
      </c>
      <c r="H13265" s="3" t="inlineStr">
        <is>
          <t>단독다가구</t>
        </is>
      </c>
      <c r="I13265" s="3" t="inlineStr">
        <is>
          <t>단독</t>
        </is>
      </c>
      <c r="J13265" s="3" t="inlineStr">
        <is>
          <t>연서면</t>
        </is>
      </c>
    </row>
    <row r="13266">
      <c r="A13266" s="3" t="n">
        <v>2025</v>
      </c>
      <c r="B13266" s="4" t="n">
        <v>112000</v>
      </c>
      <c r="C13266" s="4" t="n">
        <v>346.5</v>
      </c>
      <c r="D13266" s="4" t="n">
        <v>104.81625</v>
      </c>
      <c r="E13266" s="5" t="n">
        <v>1068.5</v>
      </c>
      <c r="F13266" s="3" t="inlineStr">
        <is>
          <t>아름동</t>
        </is>
      </c>
      <c r="G13266" s="3" t="inlineStr"/>
      <c r="H13266" s="3" t="inlineStr">
        <is>
          <t>단독다가구</t>
        </is>
      </c>
      <c r="I13266" s="3" t="inlineStr">
        <is>
          <t>단독</t>
        </is>
      </c>
      <c r="J13266" s="3" t="inlineStr">
        <is>
          <t>아름동</t>
        </is>
      </c>
    </row>
    <row r="13267">
      <c r="A13267" s="3" t="n">
        <v>2025</v>
      </c>
      <c r="B13267" s="4" t="n">
        <v>105300</v>
      </c>
      <c r="C13267" s="4" t="n">
        <v>333.9</v>
      </c>
      <c r="D13267" s="4" t="n">
        <v>101.00475</v>
      </c>
      <c r="E13267" s="5" t="n">
        <v>1042.5</v>
      </c>
      <c r="F13267" s="3" t="inlineStr">
        <is>
          <t>고운동</t>
        </is>
      </c>
      <c r="G13267" s="3" t="inlineStr"/>
      <c r="H13267" s="3" t="inlineStr">
        <is>
          <t>단독다가구</t>
        </is>
      </c>
      <c r="I13267" s="3" t="inlineStr">
        <is>
          <t>단독</t>
        </is>
      </c>
      <c r="J13267" s="3" t="inlineStr">
        <is>
          <t>고운동</t>
        </is>
      </c>
    </row>
    <row r="13268">
      <c r="A13268" s="3" t="n">
        <v>2025</v>
      </c>
      <c r="B13268" s="4" t="n">
        <v>102862</v>
      </c>
      <c r="C13268" s="4" t="n">
        <v>463</v>
      </c>
      <c r="D13268" s="4" t="n">
        <v>140.0575</v>
      </c>
      <c r="E13268" s="5" t="n">
        <v>734.4</v>
      </c>
      <c r="F13268" s="3" t="inlineStr">
        <is>
          <t>연서면</t>
        </is>
      </c>
      <c r="G13268" s="3" t="inlineStr">
        <is>
          <t>월하리</t>
        </is>
      </c>
      <c r="H13268" s="3" t="inlineStr">
        <is>
          <t>단독다가구</t>
        </is>
      </c>
      <c r="I13268" s="3" t="inlineStr">
        <is>
          <t>다가구</t>
        </is>
      </c>
      <c r="J13268" s="3" t="inlineStr">
        <is>
          <t>연서면</t>
        </is>
      </c>
    </row>
    <row r="13269">
      <c r="A13269" s="3" t="n">
        <v>2025</v>
      </c>
      <c r="B13269" s="4" t="n">
        <v>25000</v>
      </c>
      <c r="C13269" s="4" t="n">
        <v>254</v>
      </c>
      <c r="D13269" s="4" t="n">
        <v>76.83499999999999</v>
      </c>
      <c r="E13269" s="5" t="n">
        <v>325.4</v>
      </c>
      <c r="F13269" s="3" t="inlineStr">
        <is>
          <t>조치원읍</t>
        </is>
      </c>
      <c r="G13269" s="3" t="inlineStr">
        <is>
          <t>신안리</t>
        </is>
      </c>
      <c r="H13269" s="3" t="inlineStr">
        <is>
          <t>단독다가구</t>
        </is>
      </c>
      <c r="I13269" s="3" t="inlineStr">
        <is>
          <t>단독</t>
        </is>
      </c>
      <c r="J13269" s="3" t="inlineStr">
        <is>
          <t>조치원읍</t>
        </is>
      </c>
    </row>
    <row r="13270">
      <c r="A13270" s="3" t="n">
        <v>2025</v>
      </c>
      <c r="B13270" s="4" t="n">
        <v>15000</v>
      </c>
      <c r="C13270" s="4" t="n">
        <v>116</v>
      </c>
      <c r="D13270" s="4" t="n">
        <v>35.09</v>
      </c>
      <c r="E13270" s="5" t="n">
        <v>427.5</v>
      </c>
      <c r="F13270" s="3" t="inlineStr">
        <is>
          <t>조치원읍</t>
        </is>
      </c>
      <c r="G13270" s="3" t="inlineStr">
        <is>
          <t>정리</t>
        </is>
      </c>
      <c r="H13270" s="3" t="inlineStr">
        <is>
          <t>단독다가구</t>
        </is>
      </c>
      <c r="I13270" s="3" t="inlineStr">
        <is>
          <t>단독</t>
        </is>
      </c>
      <c r="J13270" s="3" t="inlineStr">
        <is>
          <t>조치원읍</t>
        </is>
      </c>
    </row>
    <row r="13271">
      <c r="A13271" s="3" t="n">
        <v>2025</v>
      </c>
      <c r="B13271" s="4" t="n">
        <v>25000</v>
      </c>
      <c r="C13271" s="4" t="n">
        <v>258</v>
      </c>
      <c r="D13271" s="4" t="n">
        <v>78.045</v>
      </c>
      <c r="E13271" s="5" t="n">
        <v>320.3</v>
      </c>
      <c r="F13271" s="3" t="inlineStr">
        <is>
          <t>장군면</t>
        </is>
      </c>
      <c r="G13271" s="3" t="inlineStr">
        <is>
          <t>은용리</t>
        </is>
      </c>
      <c r="H13271" s="3" t="inlineStr">
        <is>
          <t>단독다가구</t>
        </is>
      </c>
      <c r="I13271" s="3" t="inlineStr">
        <is>
          <t>단독</t>
        </is>
      </c>
      <c r="J13271" s="3" t="inlineStr">
        <is>
          <t>장군면</t>
        </is>
      </c>
    </row>
    <row r="13272">
      <c r="A13272" s="3" t="n">
        <v>2025</v>
      </c>
      <c r="B13272" s="4" t="n">
        <v>100628</v>
      </c>
      <c r="C13272" s="4" t="n">
        <v>455</v>
      </c>
      <c r="D13272" s="4" t="n">
        <v>137.6375</v>
      </c>
      <c r="E13272" s="5" t="n">
        <v>731.1</v>
      </c>
      <c r="F13272" s="3" t="inlineStr">
        <is>
          <t>연서면</t>
        </is>
      </c>
      <c r="G13272" s="3" t="inlineStr">
        <is>
          <t>월하리</t>
        </is>
      </c>
      <c r="H13272" s="3" t="inlineStr">
        <is>
          <t>단독다가구</t>
        </is>
      </c>
      <c r="I13272" s="3" t="inlineStr">
        <is>
          <t>다가구</t>
        </is>
      </c>
      <c r="J13272" s="3" t="inlineStr">
        <is>
          <t>연서면</t>
        </is>
      </c>
    </row>
    <row r="13273">
      <c r="A13273" s="3" t="n">
        <v>2025</v>
      </c>
      <c r="B13273" s="4" t="n">
        <v>19000</v>
      </c>
      <c r="C13273" s="4" t="n">
        <v>682</v>
      </c>
      <c r="D13273" s="4" t="n">
        <v>206.305</v>
      </c>
      <c r="E13273" s="5" t="n">
        <v>92.09999999999999</v>
      </c>
      <c r="F13273" s="3" t="inlineStr">
        <is>
          <t>전동면</t>
        </is>
      </c>
      <c r="G13273" s="3" t="inlineStr">
        <is>
          <t>보덕리</t>
        </is>
      </c>
      <c r="H13273" s="3" t="inlineStr">
        <is>
          <t>단독다가구</t>
        </is>
      </c>
      <c r="I13273" s="3" t="inlineStr">
        <is>
          <t>단독</t>
        </is>
      </c>
      <c r="J13273" s="3" t="inlineStr">
        <is>
          <t>전동면</t>
        </is>
      </c>
    </row>
    <row r="13274">
      <c r="A13274" s="3" t="n">
        <v>2025</v>
      </c>
      <c r="B13274" s="4" t="n">
        <v>62000</v>
      </c>
      <c r="C13274" s="4" t="n">
        <v>343</v>
      </c>
      <c r="D13274" s="4" t="n">
        <v>103.7575</v>
      </c>
      <c r="E13274" s="5" t="n">
        <v>597.5</v>
      </c>
      <c r="F13274" s="3" t="inlineStr">
        <is>
          <t>장군면</t>
        </is>
      </c>
      <c r="G13274" s="3" t="inlineStr">
        <is>
          <t>대교리</t>
        </is>
      </c>
      <c r="H13274" s="3" t="inlineStr">
        <is>
          <t>단독다가구</t>
        </is>
      </c>
      <c r="I13274" s="3" t="inlineStr">
        <is>
          <t>다가구</t>
        </is>
      </c>
      <c r="J13274" s="3" t="inlineStr">
        <is>
          <t>장군면</t>
        </is>
      </c>
    </row>
    <row r="13275">
      <c r="A13275" s="3" t="n">
        <v>2025</v>
      </c>
      <c r="B13275" s="4" t="n">
        <v>49100</v>
      </c>
      <c r="C13275" s="4" t="n">
        <v>375</v>
      </c>
      <c r="D13275" s="4" t="n">
        <v>113.4375</v>
      </c>
      <c r="E13275" s="5" t="n">
        <v>432.8</v>
      </c>
      <c r="F13275" s="3" t="inlineStr">
        <is>
          <t>금남면</t>
        </is>
      </c>
      <c r="G13275" s="3" t="inlineStr">
        <is>
          <t>대박리</t>
        </is>
      </c>
      <c r="H13275" s="3" t="inlineStr">
        <is>
          <t>단독다가구</t>
        </is>
      </c>
      <c r="I13275" s="3" t="inlineStr">
        <is>
          <t>단독</t>
        </is>
      </c>
      <c r="J13275" s="3" t="inlineStr">
        <is>
          <t>금남면</t>
        </is>
      </c>
    </row>
    <row r="13276">
      <c r="A13276" s="3" t="n">
        <v>2025</v>
      </c>
      <c r="B13276" s="4" t="n">
        <v>90000</v>
      </c>
      <c r="C13276" s="4" t="n">
        <v>333</v>
      </c>
      <c r="D13276" s="4" t="n">
        <v>100.7325</v>
      </c>
      <c r="E13276" s="5" t="n">
        <v>893.5</v>
      </c>
      <c r="F13276" s="3" t="inlineStr">
        <is>
          <t>고운동</t>
        </is>
      </c>
      <c r="G13276" s="3" t="inlineStr"/>
      <c r="H13276" s="3" t="inlineStr">
        <is>
          <t>단독다가구</t>
        </is>
      </c>
      <c r="I13276" s="3" t="inlineStr">
        <is>
          <t>단독</t>
        </is>
      </c>
      <c r="J13276" s="3" t="inlineStr">
        <is>
          <t>고운동</t>
        </is>
      </c>
    </row>
    <row r="13277">
      <c r="A13277" s="3" t="n">
        <v>2025</v>
      </c>
      <c r="B13277" s="4" t="n">
        <v>104624</v>
      </c>
      <c r="C13277" s="4" t="n">
        <v>463</v>
      </c>
      <c r="D13277" s="4" t="n">
        <v>140.0575</v>
      </c>
      <c r="E13277" s="5" t="n">
        <v>747</v>
      </c>
      <c r="F13277" s="3" t="inlineStr">
        <is>
          <t>연서면</t>
        </is>
      </c>
      <c r="G13277" s="3" t="inlineStr">
        <is>
          <t>월하리</t>
        </is>
      </c>
      <c r="H13277" s="3" t="inlineStr">
        <is>
          <t>단독다가구</t>
        </is>
      </c>
      <c r="I13277" s="3" t="inlineStr">
        <is>
          <t>다가구</t>
        </is>
      </c>
      <c r="J13277" s="3" t="inlineStr">
        <is>
          <t>연서면</t>
        </is>
      </c>
    </row>
    <row r="13278">
      <c r="A13278" s="3" t="n">
        <v>2025</v>
      </c>
      <c r="B13278" s="4" t="n">
        <v>43000</v>
      </c>
      <c r="C13278" s="4" t="n">
        <v>535</v>
      </c>
      <c r="D13278" s="4" t="n">
        <v>161.8375</v>
      </c>
      <c r="E13278" s="5" t="n">
        <v>265.7</v>
      </c>
      <c r="F13278" s="3" t="inlineStr">
        <is>
          <t>금남면</t>
        </is>
      </c>
      <c r="G13278" s="3" t="inlineStr">
        <is>
          <t>도남리</t>
        </is>
      </c>
      <c r="H13278" s="3" t="inlineStr">
        <is>
          <t>단독다가구</t>
        </is>
      </c>
      <c r="I13278" s="3" t="inlineStr">
        <is>
          <t>단독</t>
        </is>
      </c>
      <c r="J13278" s="3" t="inlineStr">
        <is>
          <t>금남면</t>
        </is>
      </c>
    </row>
    <row r="13279">
      <c r="A13279" s="3" t="n">
        <v>2025</v>
      </c>
      <c r="B13279" s="4" t="n">
        <v>8000</v>
      </c>
      <c r="C13279" s="4" t="n">
        <v>344</v>
      </c>
      <c r="D13279" s="4" t="n">
        <v>104.06</v>
      </c>
      <c r="E13279" s="5" t="n">
        <v>76.90000000000001</v>
      </c>
      <c r="F13279" s="3" t="inlineStr">
        <is>
          <t>부강면</t>
        </is>
      </c>
      <c r="G13279" s="3" t="inlineStr">
        <is>
          <t>등곡리</t>
        </is>
      </c>
      <c r="H13279" s="3" t="inlineStr">
        <is>
          <t>단독다가구</t>
        </is>
      </c>
      <c r="I13279" s="3" t="inlineStr">
        <is>
          <t>단독</t>
        </is>
      </c>
      <c r="J13279" s="3" t="inlineStr">
        <is>
          <t>부강면</t>
        </is>
      </c>
    </row>
    <row r="13280">
      <c r="A13280" s="3" t="n">
        <v>2025</v>
      </c>
      <c r="B13280" s="4" t="n">
        <v>18000</v>
      </c>
      <c r="C13280" s="4" t="n">
        <v>330</v>
      </c>
      <c r="D13280" s="4" t="n">
        <v>99.825</v>
      </c>
      <c r="E13280" s="5" t="n">
        <v>180.3</v>
      </c>
      <c r="F13280" s="3" t="inlineStr">
        <is>
          <t>금남면</t>
        </is>
      </c>
      <c r="G13280" s="3" t="inlineStr">
        <is>
          <t>영대리</t>
        </is>
      </c>
      <c r="H13280" s="3" t="inlineStr">
        <is>
          <t>단독다가구</t>
        </is>
      </c>
      <c r="I13280" s="3" t="inlineStr">
        <is>
          <t>단독</t>
        </is>
      </c>
      <c r="J13280" s="3" t="inlineStr">
        <is>
          <t>금남면</t>
        </is>
      </c>
    </row>
    <row r="13281">
      <c r="A13281" s="3" t="n">
        <v>2025</v>
      </c>
      <c r="B13281" s="4" t="n">
        <v>19000</v>
      </c>
      <c r="C13281" s="4" t="n">
        <v>565</v>
      </c>
      <c r="D13281" s="4" t="n">
        <v>170.9125</v>
      </c>
      <c r="E13281" s="5" t="n">
        <v>111.2</v>
      </c>
      <c r="F13281" s="3" t="inlineStr">
        <is>
          <t>전동면</t>
        </is>
      </c>
      <c r="G13281" s="3" t="inlineStr">
        <is>
          <t>석곡리</t>
        </is>
      </c>
      <c r="H13281" s="3" t="inlineStr">
        <is>
          <t>단독다가구</t>
        </is>
      </c>
      <c r="I13281" s="3" t="inlineStr">
        <is>
          <t>단독</t>
        </is>
      </c>
      <c r="J13281" s="3" t="inlineStr">
        <is>
          <t>전동면</t>
        </is>
      </c>
    </row>
    <row r="13282">
      <c r="A13282" s="3" t="n">
        <v>2025</v>
      </c>
      <c r="B13282" s="4" t="n">
        <v>31955</v>
      </c>
      <c r="C13282" s="4" t="n">
        <v>305</v>
      </c>
      <c r="D13282" s="4" t="n">
        <v>92.2625</v>
      </c>
      <c r="E13282" s="5" t="n">
        <v>346.3</v>
      </c>
      <c r="F13282" s="3" t="inlineStr">
        <is>
          <t>장군면</t>
        </is>
      </c>
      <c r="G13282" s="3" t="inlineStr">
        <is>
          <t>용암리</t>
        </is>
      </c>
      <c r="H13282" s="3" t="inlineStr">
        <is>
          <t>단독다가구</t>
        </is>
      </c>
      <c r="I13282" s="3" t="inlineStr">
        <is>
          <t>단독</t>
        </is>
      </c>
      <c r="J13282" s="3" t="inlineStr">
        <is>
          <t>장군면</t>
        </is>
      </c>
    </row>
    <row r="13283">
      <c r="A13283" s="3" t="n">
        <v>2025</v>
      </c>
      <c r="B13283" s="4" t="n">
        <v>32000</v>
      </c>
      <c r="C13283" s="4" t="n">
        <v>305</v>
      </c>
      <c r="D13283" s="4" t="n">
        <v>92.2625</v>
      </c>
      <c r="E13283" s="5" t="n">
        <v>346.8</v>
      </c>
      <c r="F13283" s="3" t="inlineStr">
        <is>
          <t>장군면</t>
        </is>
      </c>
      <c r="G13283" s="3" t="inlineStr">
        <is>
          <t>용암리</t>
        </is>
      </c>
      <c r="H13283" s="3" t="inlineStr">
        <is>
          <t>단독다가구</t>
        </is>
      </c>
      <c r="I13283" s="3" t="inlineStr">
        <is>
          <t>단독</t>
        </is>
      </c>
      <c r="J13283" s="3" t="inlineStr">
        <is>
          <t>장군면</t>
        </is>
      </c>
    </row>
    <row r="13284">
      <c r="A13284" s="3" t="n">
        <v>2025</v>
      </c>
      <c r="B13284" s="4" t="n">
        <v>7820</v>
      </c>
      <c r="C13284" s="4" t="n">
        <v>380</v>
      </c>
      <c r="D13284" s="4" t="n">
        <v>114.95</v>
      </c>
      <c r="E13284" s="5" t="n">
        <v>68</v>
      </c>
      <c r="F13284" s="3" t="inlineStr">
        <is>
          <t>소정면</t>
        </is>
      </c>
      <c r="G13284" s="3" t="inlineStr">
        <is>
          <t>소정리</t>
        </is>
      </c>
      <c r="H13284" s="3" t="inlineStr">
        <is>
          <t>단독다가구</t>
        </is>
      </c>
      <c r="I13284" s="3" t="inlineStr">
        <is>
          <t>단독</t>
        </is>
      </c>
      <c r="J13284" s="3" t="inlineStr">
        <is>
          <t>소정면</t>
        </is>
      </c>
    </row>
    <row r="13285">
      <c r="A13285" s="3" t="n">
        <v>2025</v>
      </c>
      <c r="B13285" s="4" t="n">
        <v>59000</v>
      </c>
      <c r="C13285" s="4" t="n">
        <v>288.4</v>
      </c>
      <c r="D13285" s="4" t="n">
        <v>87.24099999999999</v>
      </c>
      <c r="E13285" s="5" t="n">
        <v>676.3</v>
      </c>
      <c r="F13285" s="3" t="inlineStr">
        <is>
          <t>연기면</t>
        </is>
      </c>
      <c r="G13285" s="3" t="inlineStr">
        <is>
          <t>연기리</t>
        </is>
      </c>
      <c r="H13285" s="3" t="inlineStr">
        <is>
          <t>단독다가구</t>
        </is>
      </c>
      <c r="I13285" s="3" t="inlineStr">
        <is>
          <t>다가구</t>
        </is>
      </c>
      <c r="J13285" s="3" t="inlineStr">
        <is>
          <t>연기면</t>
        </is>
      </c>
    </row>
    <row r="13286">
      <c r="A13286" s="3" t="n">
        <v>2025</v>
      </c>
      <c r="B13286" s="4" t="n">
        <v>59000</v>
      </c>
      <c r="C13286" s="4" t="n">
        <v>288.4</v>
      </c>
      <c r="D13286" s="4" t="n">
        <v>87.24099999999999</v>
      </c>
      <c r="E13286" s="5" t="n">
        <v>676.3</v>
      </c>
      <c r="F13286" s="3" t="inlineStr">
        <is>
          <t>연기면</t>
        </is>
      </c>
      <c r="G13286" s="3" t="inlineStr">
        <is>
          <t>연기리</t>
        </is>
      </c>
      <c r="H13286" s="3" t="inlineStr">
        <is>
          <t>단독다가구</t>
        </is>
      </c>
      <c r="I13286" s="3" t="inlineStr">
        <is>
          <t>다가구</t>
        </is>
      </c>
      <c r="J13286" s="3" t="inlineStr">
        <is>
          <t>연기면</t>
        </is>
      </c>
    </row>
    <row r="13287">
      <c r="A13287" s="3" t="n">
        <v>2025</v>
      </c>
      <c r="B13287" s="4" t="n">
        <v>18500</v>
      </c>
      <c r="C13287" s="4" t="n">
        <v>562</v>
      </c>
      <c r="D13287" s="4" t="n">
        <v>170.005</v>
      </c>
      <c r="E13287" s="5" t="n">
        <v>108.8</v>
      </c>
      <c r="F13287" s="3" t="inlineStr">
        <is>
          <t>전동면</t>
        </is>
      </c>
      <c r="G13287" s="3" t="inlineStr">
        <is>
          <t>심중리</t>
        </is>
      </c>
      <c r="H13287" s="3" t="inlineStr">
        <is>
          <t>단독다가구</t>
        </is>
      </c>
      <c r="I13287" s="3" t="inlineStr">
        <is>
          <t>단독</t>
        </is>
      </c>
      <c r="J13287" s="3" t="inlineStr">
        <is>
          <t>전동면</t>
        </is>
      </c>
    </row>
    <row r="13288">
      <c r="A13288" s="3" t="n">
        <v>2025</v>
      </c>
      <c r="B13288" s="4" t="n">
        <v>62500</v>
      </c>
      <c r="C13288" s="4" t="n">
        <v>320</v>
      </c>
      <c r="D13288" s="4" t="n">
        <v>96.8</v>
      </c>
      <c r="E13288" s="5" t="n">
        <v>645.7</v>
      </c>
      <c r="F13288" s="3" t="inlineStr">
        <is>
          <t>장군면</t>
        </is>
      </c>
      <c r="G13288" s="3" t="inlineStr">
        <is>
          <t>봉안리</t>
        </is>
      </c>
      <c r="H13288" s="3" t="inlineStr">
        <is>
          <t>단독다가구</t>
        </is>
      </c>
      <c r="I13288" s="3" t="inlineStr">
        <is>
          <t>단독</t>
        </is>
      </c>
      <c r="J13288" s="3" t="inlineStr">
        <is>
          <t>장군면</t>
        </is>
      </c>
    </row>
    <row r="13289">
      <c r="A13289" s="3" t="n">
        <v>2025</v>
      </c>
      <c r="B13289" s="4" t="n">
        <v>62500</v>
      </c>
      <c r="C13289" s="4" t="n">
        <v>320</v>
      </c>
      <c r="D13289" s="4" t="n">
        <v>96.8</v>
      </c>
      <c r="E13289" s="5" t="n">
        <v>645.7</v>
      </c>
      <c r="F13289" s="3" t="inlineStr">
        <is>
          <t>장군면</t>
        </is>
      </c>
      <c r="G13289" s="3" t="inlineStr">
        <is>
          <t>봉안리</t>
        </is>
      </c>
      <c r="H13289" s="3" t="inlineStr">
        <is>
          <t>단독다가구</t>
        </is>
      </c>
      <c r="I13289" s="3" t="inlineStr">
        <is>
          <t>단독</t>
        </is>
      </c>
      <c r="J13289" s="3" t="inlineStr">
        <is>
          <t>장군면</t>
        </is>
      </c>
    </row>
    <row r="13290">
      <c r="A13290" s="3" t="n">
        <v>2025</v>
      </c>
      <c r="B13290" s="4" t="n">
        <v>83000</v>
      </c>
      <c r="C13290" s="4" t="n">
        <v>279.5</v>
      </c>
      <c r="D13290" s="4" t="n">
        <v>84.54875</v>
      </c>
      <c r="E13290" s="5" t="n">
        <v>981.7</v>
      </c>
      <c r="F13290" s="3" t="inlineStr">
        <is>
          <t>조치원읍</t>
        </is>
      </c>
      <c r="G13290" s="3" t="inlineStr">
        <is>
          <t>침산리</t>
        </is>
      </c>
      <c r="H13290" s="3" t="inlineStr">
        <is>
          <t>단독다가구</t>
        </is>
      </c>
      <c r="I13290" s="3" t="inlineStr">
        <is>
          <t>다가구</t>
        </is>
      </c>
      <c r="J13290" s="3" t="inlineStr">
        <is>
          <t>조치원읍</t>
        </is>
      </c>
    </row>
    <row r="13291">
      <c r="A13291" s="3" t="n">
        <v>2025</v>
      </c>
      <c r="B13291" s="4" t="n">
        <v>6000</v>
      </c>
      <c r="C13291" s="4" t="n">
        <v>660</v>
      </c>
      <c r="D13291" s="4" t="n">
        <v>199.65</v>
      </c>
      <c r="E13291" s="5" t="n">
        <v>30.1</v>
      </c>
      <c r="F13291" s="3" t="inlineStr">
        <is>
          <t>부강면</t>
        </is>
      </c>
      <c r="G13291" s="3" t="inlineStr">
        <is>
          <t>행산리</t>
        </is>
      </c>
      <c r="H13291" s="3" t="inlineStr">
        <is>
          <t>단독다가구</t>
        </is>
      </c>
      <c r="I13291" s="3" t="inlineStr">
        <is>
          <t>단독</t>
        </is>
      </c>
      <c r="J13291" s="3" t="inlineStr">
        <is>
          <t>부강면</t>
        </is>
      </c>
    </row>
    <row r="13292">
      <c r="A13292" s="3" t="n">
        <v>2025</v>
      </c>
      <c r="B13292" s="4" t="n">
        <v>38182</v>
      </c>
      <c r="C13292" s="4" t="n">
        <v>218</v>
      </c>
      <c r="D13292" s="4" t="n">
        <v>65.94499999999999</v>
      </c>
      <c r="E13292" s="5" t="n">
        <v>579</v>
      </c>
      <c r="F13292" s="3" t="inlineStr">
        <is>
          <t>장군면</t>
        </is>
      </c>
      <c r="G13292" s="3" t="inlineStr">
        <is>
          <t>대교리</t>
        </is>
      </c>
      <c r="H13292" s="3" t="inlineStr">
        <is>
          <t>단독다가구</t>
        </is>
      </c>
      <c r="I13292" s="3" t="inlineStr">
        <is>
          <t>단독</t>
        </is>
      </c>
      <c r="J13292" s="3" t="inlineStr">
        <is>
          <t>장군면</t>
        </is>
      </c>
    </row>
    <row r="13293">
      <c r="A13293" s="3" t="n">
        <v>2025</v>
      </c>
      <c r="B13293" s="4" t="n">
        <v>87809</v>
      </c>
      <c r="C13293" s="4" t="n">
        <v>399</v>
      </c>
      <c r="D13293" s="4" t="n">
        <v>120.6975</v>
      </c>
      <c r="E13293" s="5" t="n">
        <v>727.5</v>
      </c>
      <c r="F13293" s="3" t="inlineStr">
        <is>
          <t>연서면</t>
        </is>
      </c>
      <c r="G13293" s="3" t="inlineStr">
        <is>
          <t>월하리</t>
        </is>
      </c>
      <c r="H13293" s="3" t="inlineStr">
        <is>
          <t>단독다가구</t>
        </is>
      </c>
      <c r="I13293" s="3" t="inlineStr">
        <is>
          <t>다가구</t>
        </is>
      </c>
      <c r="J13293" s="3" t="inlineStr">
        <is>
          <t>연서면</t>
        </is>
      </c>
    </row>
    <row r="13294">
      <c r="A13294" s="3" t="n">
        <v>2025</v>
      </c>
      <c r="B13294" s="4" t="n">
        <v>43500</v>
      </c>
      <c r="C13294" s="4" t="n">
        <v>289</v>
      </c>
      <c r="D13294" s="4" t="n">
        <v>87.4225</v>
      </c>
      <c r="E13294" s="5" t="n">
        <v>497.6</v>
      </c>
      <c r="F13294" s="3" t="inlineStr">
        <is>
          <t>조치원읍</t>
        </is>
      </c>
      <c r="G13294" s="3" t="inlineStr">
        <is>
          <t>침산리</t>
        </is>
      </c>
      <c r="H13294" s="3" t="inlineStr">
        <is>
          <t>단독다가구</t>
        </is>
      </c>
      <c r="I13294" s="3" t="inlineStr">
        <is>
          <t>단독</t>
        </is>
      </c>
      <c r="J13294" s="3" t="inlineStr">
        <is>
          <t>조치원읍</t>
        </is>
      </c>
    </row>
    <row r="13295">
      <c r="A13295" s="3" t="n">
        <v>2025</v>
      </c>
      <c r="B13295" s="4" t="n">
        <v>18000</v>
      </c>
      <c r="C13295" s="4" t="n">
        <v>319</v>
      </c>
      <c r="D13295" s="4" t="n">
        <v>96.4975</v>
      </c>
      <c r="E13295" s="5" t="n">
        <v>186.5</v>
      </c>
      <c r="F13295" s="3" t="inlineStr">
        <is>
          <t>연서면</t>
        </is>
      </c>
      <c r="G13295" s="3" t="inlineStr">
        <is>
          <t>고복리</t>
        </is>
      </c>
      <c r="H13295" s="3" t="inlineStr">
        <is>
          <t>단독다가구</t>
        </is>
      </c>
      <c r="I13295" s="3" t="inlineStr">
        <is>
          <t>단독</t>
        </is>
      </c>
      <c r="J13295" s="3" t="inlineStr">
        <is>
          <t>연서면</t>
        </is>
      </c>
    </row>
    <row r="13296">
      <c r="A13296" s="3" t="n">
        <v>2025</v>
      </c>
      <c r="B13296" s="4" t="n">
        <v>47370</v>
      </c>
      <c r="C13296" s="4" t="n">
        <v>142</v>
      </c>
      <c r="D13296" s="4" t="n">
        <v>42.955</v>
      </c>
      <c r="E13296" s="5" t="n">
        <v>1102.8</v>
      </c>
      <c r="F13296" s="3" t="inlineStr">
        <is>
          <t>연서면</t>
        </is>
      </c>
      <c r="G13296" s="3" t="inlineStr">
        <is>
          <t>봉암리</t>
        </is>
      </c>
      <c r="H13296" s="3" t="inlineStr">
        <is>
          <t>단독다가구</t>
        </is>
      </c>
      <c r="I13296" s="3" t="inlineStr">
        <is>
          <t>다가구</t>
        </is>
      </c>
      <c r="J13296" s="3" t="inlineStr">
        <is>
          <t>연서면</t>
        </is>
      </c>
    </row>
    <row r="13297">
      <c r="A13297" s="3" t="n">
        <v>2025</v>
      </c>
      <c r="B13297" s="4" t="n">
        <v>12000</v>
      </c>
      <c r="C13297" s="4" t="n">
        <v>242</v>
      </c>
      <c r="D13297" s="4" t="n">
        <v>73.205</v>
      </c>
      <c r="E13297" s="5" t="n">
        <v>163.9</v>
      </c>
      <c r="F13297" s="3" t="inlineStr">
        <is>
          <t>금남면</t>
        </is>
      </c>
      <c r="G13297" s="3" t="inlineStr">
        <is>
          <t>영곡리</t>
        </is>
      </c>
      <c r="H13297" s="3" t="inlineStr">
        <is>
          <t>단독다가구</t>
        </is>
      </c>
      <c r="I13297" s="3" t="inlineStr">
        <is>
          <t>단독</t>
        </is>
      </c>
      <c r="J13297" s="3" t="inlineStr">
        <is>
          <t>금남면</t>
        </is>
      </c>
    </row>
    <row r="13298">
      <c r="A13298" s="3" t="n">
        <v>2025</v>
      </c>
      <c r="B13298" s="4" t="n">
        <v>46500</v>
      </c>
      <c r="C13298" s="4" t="n">
        <v>265</v>
      </c>
      <c r="D13298" s="4" t="n">
        <v>80.16249999999999</v>
      </c>
      <c r="E13298" s="5" t="n">
        <v>580.1</v>
      </c>
      <c r="F13298" s="3" t="inlineStr">
        <is>
          <t>조치원읍</t>
        </is>
      </c>
      <c r="G13298" s="3" t="inlineStr">
        <is>
          <t>신안리</t>
        </is>
      </c>
      <c r="H13298" s="3" t="inlineStr">
        <is>
          <t>단독다가구</t>
        </is>
      </c>
      <c r="I13298" s="3" t="inlineStr">
        <is>
          <t>다가구</t>
        </is>
      </c>
      <c r="J13298" s="3" t="inlineStr">
        <is>
          <t>조치원읍</t>
        </is>
      </c>
    </row>
    <row r="13299">
      <c r="A13299" s="3" t="n">
        <v>2025</v>
      </c>
      <c r="B13299" s="4" t="n">
        <v>32875</v>
      </c>
      <c r="C13299" s="4" t="n">
        <v>472</v>
      </c>
      <c r="D13299" s="4" t="n">
        <v>142.78</v>
      </c>
      <c r="E13299" s="5" t="n">
        <v>230.2</v>
      </c>
      <c r="F13299" s="3" t="inlineStr">
        <is>
          <t>연서면</t>
        </is>
      </c>
      <c r="G13299" s="3" t="inlineStr">
        <is>
          <t>월하리</t>
        </is>
      </c>
      <c r="H13299" s="3" t="inlineStr">
        <is>
          <t>단독다가구</t>
        </is>
      </c>
      <c r="I13299" s="3" t="inlineStr">
        <is>
          <t>단독</t>
        </is>
      </c>
      <c r="J13299" s="3" t="inlineStr">
        <is>
          <t>연서면</t>
        </is>
      </c>
    </row>
    <row r="13300">
      <c r="A13300" s="3" t="n">
        <v>2025</v>
      </c>
      <c r="B13300" s="4" t="n">
        <v>28700</v>
      </c>
      <c r="C13300" s="4" t="n">
        <v>229</v>
      </c>
      <c r="D13300" s="4" t="n">
        <v>69.27249999999999</v>
      </c>
      <c r="E13300" s="5" t="n">
        <v>414.3</v>
      </c>
      <c r="F13300" s="3" t="inlineStr">
        <is>
          <t>조치원읍</t>
        </is>
      </c>
      <c r="G13300" s="3" t="inlineStr">
        <is>
          <t>남리</t>
        </is>
      </c>
      <c r="H13300" s="3" t="inlineStr">
        <is>
          <t>단독다가구</t>
        </is>
      </c>
      <c r="I13300" s="3" t="inlineStr">
        <is>
          <t>단독</t>
        </is>
      </c>
      <c r="J13300" s="3" t="inlineStr">
        <is>
          <t>조치원읍</t>
        </is>
      </c>
    </row>
    <row r="13301">
      <c r="A13301" s="3" t="n">
        <v>2025</v>
      </c>
      <c r="B13301" s="4" t="n">
        <v>32640</v>
      </c>
      <c r="C13301" s="4" t="n">
        <v>472</v>
      </c>
      <c r="D13301" s="4" t="n">
        <v>142.78</v>
      </c>
      <c r="E13301" s="5" t="n">
        <v>228.6</v>
      </c>
      <c r="F13301" s="3" t="inlineStr">
        <is>
          <t>연서면</t>
        </is>
      </c>
      <c r="G13301" s="3" t="inlineStr">
        <is>
          <t>월하리</t>
        </is>
      </c>
      <c r="H13301" s="3" t="inlineStr">
        <is>
          <t>단독다가구</t>
        </is>
      </c>
      <c r="I13301" s="3" t="inlineStr">
        <is>
          <t>단독</t>
        </is>
      </c>
      <c r="J13301" s="3" t="inlineStr">
        <is>
          <t>연서면</t>
        </is>
      </c>
    </row>
    <row r="13302">
      <c r="A13302" s="3" t="n">
        <v>2025</v>
      </c>
      <c r="B13302" s="4" t="n">
        <v>16000</v>
      </c>
      <c r="C13302" s="4" t="n">
        <v>420</v>
      </c>
      <c r="D13302" s="4" t="n">
        <v>127.05</v>
      </c>
      <c r="E13302" s="5" t="n">
        <v>125.9</v>
      </c>
      <c r="F13302" s="3" t="inlineStr">
        <is>
          <t>소정면</t>
        </is>
      </c>
      <c r="G13302" s="3" t="inlineStr">
        <is>
          <t>대곡리</t>
        </is>
      </c>
      <c r="H13302" s="3" t="inlineStr">
        <is>
          <t>단독다가구</t>
        </is>
      </c>
      <c r="I13302" s="3" t="inlineStr">
        <is>
          <t>단독</t>
        </is>
      </c>
      <c r="J13302" s="3" t="inlineStr">
        <is>
          <t>소정면</t>
        </is>
      </c>
    </row>
    <row r="13303">
      <c r="A13303" s="3" t="n">
        <v>2025</v>
      </c>
      <c r="B13303" s="4" t="n">
        <v>49000</v>
      </c>
      <c r="C13303" s="4" t="n">
        <v>495</v>
      </c>
      <c r="D13303" s="4" t="n">
        <v>149.7375</v>
      </c>
      <c r="E13303" s="5" t="n">
        <v>327.2</v>
      </c>
      <c r="F13303" s="3" t="inlineStr">
        <is>
          <t>장군면</t>
        </is>
      </c>
      <c r="G13303" s="3" t="inlineStr">
        <is>
          <t>금암리</t>
        </is>
      </c>
      <c r="H13303" s="3" t="inlineStr">
        <is>
          <t>단독다가구</t>
        </is>
      </c>
      <c r="I13303" s="3" t="inlineStr">
        <is>
          <t>단독</t>
        </is>
      </c>
      <c r="J13303" s="3" t="inlineStr">
        <is>
          <t>장군면</t>
        </is>
      </c>
    </row>
    <row r="13304">
      <c r="A13304" s="3" t="n">
        <v>2025</v>
      </c>
      <c r="B13304" s="4" t="n">
        <v>162000</v>
      </c>
      <c r="C13304" s="4" t="n">
        <v>313</v>
      </c>
      <c r="D13304" s="4" t="n">
        <v>94.68249999999999</v>
      </c>
      <c r="E13304" s="5" t="n">
        <v>1711</v>
      </c>
      <c r="F13304" s="3" t="inlineStr">
        <is>
          <t>반곡동</t>
        </is>
      </c>
      <c r="G13304" s="3" t="inlineStr"/>
      <c r="H13304" s="3" t="inlineStr">
        <is>
          <t>단독다가구</t>
        </is>
      </c>
      <c r="I13304" s="3" t="inlineStr">
        <is>
          <t>단독</t>
        </is>
      </c>
      <c r="J13304" s="3" t="inlineStr">
        <is>
          <t>반곡동</t>
        </is>
      </c>
    </row>
    <row r="13305">
      <c r="A13305" s="3" t="n">
        <v>2025</v>
      </c>
      <c r="B13305" s="4" t="n">
        <v>5500</v>
      </c>
      <c r="C13305" s="4" t="n">
        <v>264</v>
      </c>
      <c r="D13305" s="4" t="n">
        <v>79.86</v>
      </c>
      <c r="E13305" s="5" t="n">
        <v>68.90000000000001</v>
      </c>
      <c r="F13305" s="3" t="inlineStr">
        <is>
          <t>전동면</t>
        </is>
      </c>
      <c r="G13305" s="3" t="inlineStr">
        <is>
          <t>청송리</t>
        </is>
      </c>
      <c r="H13305" s="3" t="inlineStr">
        <is>
          <t>단독다가구</t>
        </is>
      </c>
      <c r="I13305" s="3" t="inlineStr">
        <is>
          <t>단독</t>
        </is>
      </c>
      <c r="J13305" s="3" t="inlineStr">
        <is>
          <t>전동면</t>
        </is>
      </c>
    </row>
    <row r="13306">
      <c r="A13306" s="3" t="n">
        <v>2025</v>
      </c>
      <c r="B13306" s="4" t="n">
        <v>19000</v>
      </c>
      <c r="C13306" s="4" t="n">
        <v>200</v>
      </c>
      <c r="D13306" s="4" t="n">
        <v>60.5</v>
      </c>
      <c r="E13306" s="5" t="n">
        <v>314</v>
      </c>
      <c r="F13306" s="3" t="inlineStr">
        <is>
          <t>조치원읍</t>
        </is>
      </c>
      <c r="G13306" s="3" t="inlineStr">
        <is>
          <t>침산리</t>
        </is>
      </c>
      <c r="H13306" s="3" t="inlineStr">
        <is>
          <t>단독다가구</t>
        </is>
      </c>
      <c r="I13306" s="3" t="inlineStr">
        <is>
          <t>단독</t>
        </is>
      </c>
      <c r="J13306" s="3" t="inlineStr">
        <is>
          <t>조치원읍</t>
        </is>
      </c>
    </row>
    <row r="13307">
      <c r="A13307" s="3" t="n">
        <v>2025</v>
      </c>
      <c r="B13307" s="4" t="n">
        <v>92400</v>
      </c>
      <c r="C13307" s="4" t="n">
        <v>503.98</v>
      </c>
      <c r="D13307" s="4" t="n">
        <v>152.45395</v>
      </c>
      <c r="E13307" s="5" t="n">
        <v>606.1</v>
      </c>
      <c r="F13307" s="3" t="inlineStr">
        <is>
          <t>해밀동</t>
        </is>
      </c>
      <c r="G13307" s="3" t="inlineStr"/>
      <c r="H13307" s="3" t="inlineStr">
        <is>
          <t>단독다가구</t>
        </is>
      </c>
      <c r="I13307" s="3" t="inlineStr">
        <is>
          <t>단독</t>
        </is>
      </c>
      <c r="J13307" s="3" t="inlineStr">
        <is>
          <t>해밀동</t>
        </is>
      </c>
    </row>
    <row r="13308">
      <c r="A13308" s="3" t="n">
        <v>2025</v>
      </c>
      <c r="B13308" s="4" t="n">
        <v>34020</v>
      </c>
      <c r="C13308" s="4" t="n">
        <v>480</v>
      </c>
      <c r="D13308" s="4" t="n">
        <v>145.2</v>
      </c>
      <c r="E13308" s="5" t="n">
        <v>234.3</v>
      </c>
      <c r="F13308" s="3" t="inlineStr">
        <is>
          <t>금남면</t>
        </is>
      </c>
      <c r="G13308" s="3" t="inlineStr">
        <is>
          <t>성덕리</t>
        </is>
      </c>
      <c r="H13308" s="3" t="inlineStr">
        <is>
          <t>단독다가구</t>
        </is>
      </c>
      <c r="I13308" s="3" t="inlineStr">
        <is>
          <t>단독</t>
        </is>
      </c>
      <c r="J13308" s="3" t="inlineStr">
        <is>
          <t>금남면</t>
        </is>
      </c>
    </row>
    <row r="13309">
      <c r="A13309" s="3" t="n">
        <v>2026</v>
      </c>
      <c r="B13309" s="4" t="n">
        <v>45000</v>
      </c>
      <c r="C13309" s="4" t="n">
        <v>226</v>
      </c>
      <c r="D13309" s="4" t="n">
        <v>68.36499999999999</v>
      </c>
      <c r="E13309" s="5" t="n">
        <v>658.2</v>
      </c>
      <c r="F13309" s="3" t="inlineStr">
        <is>
          <t>장군면</t>
        </is>
      </c>
      <c r="G13309" s="3" t="inlineStr">
        <is>
          <t>대교리</t>
        </is>
      </c>
      <c r="H13309" s="3" t="inlineStr">
        <is>
          <t>단독다가구</t>
        </is>
      </c>
      <c r="I13309" s="3" t="inlineStr">
        <is>
          <t>단독</t>
        </is>
      </c>
      <c r="J13309" s="3" t="inlineStr">
        <is>
          <t>장군면</t>
        </is>
      </c>
    </row>
    <row r="13310">
      <c r="A13310" s="3" t="n">
        <v>2026</v>
      </c>
      <c r="B13310" s="4" t="n">
        <v>25000</v>
      </c>
      <c r="C13310" s="4" t="n">
        <v>397</v>
      </c>
      <c r="D13310" s="4" t="n">
        <v>120.0925</v>
      </c>
      <c r="E13310" s="5" t="n">
        <v>208.2</v>
      </c>
      <c r="F13310" s="3" t="inlineStr">
        <is>
          <t>소정면</t>
        </is>
      </c>
      <c r="G13310" s="3" t="inlineStr">
        <is>
          <t>대곡리</t>
        </is>
      </c>
      <c r="H13310" s="3" t="inlineStr">
        <is>
          <t>단독다가구</t>
        </is>
      </c>
      <c r="I13310" s="3" t="inlineStr">
        <is>
          <t>단독</t>
        </is>
      </c>
      <c r="J13310" s="3" t="inlineStr">
        <is>
          <t>소정면</t>
        </is>
      </c>
    </row>
    <row r="13311">
      <c r="A13311" s="3" t="n">
        <v>2026</v>
      </c>
      <c r="B13311" s="4" t="n">
        <v>58000</v>
      </c>
      <c r="C13311" s="4" t="n">
        <v>288</v>
      </c>
      <c r="D13311" s="4" t="n">
        <v>87.12</v>
      </c>
      <c r="E13311" s="5" t="n">
        <v>665.7</v>
      </c>
      <c r="F13311" s="3" t="inlineStr">
        <is>
          <t>조치원읍</t>
        </is>
      </c>
      <c r="G13311" s="3" t="inlineStr">
        <is>
          <t>서창리</t>
        </is>
      </c>
      <c r="H13311" s="3" t="inlineStr">
        <is>
          <t>단독다가구</t>
        </is>
      </c>
      <c r="I13311" s="3" t="inlineStr">
        <is>
          <t>다가구</t>
        </is>
      </c>
      <c r="J13311" s="3" t="inlineStr">
        <is>
          <t>조치원읍</t>
        </is>
      </c>
    </row>
    <row r="13312">
      <c r="A13312" s="3" t="n">
        <v>2026</v>
      </c>
      <c r="B13312" s="4" t="n">
        <v>14000</v>
      </c>
      <c r="C13312" s="4" t="n">
        <v>209</v>
      </c>
      <c r="D13312" s="4" t="n">
        <v>63.2225</v>
      </c>
      <c r="E13312" s="5" t="n">
        <v>221.4</v>
      </c>
      <c r="F13312" s="3" t="inlineStr">
        <is>
          <t>연서면</t>
        </is>
      </c>
      <c r="G13312" s="3" t="inlineStr">
        <is>
          <t>고복리</t>
        </is>
      </c>
      <c r="H13312" s="3" t="inlineStr">
        <is>
          <t>단독다가구</t>
        </is>
      </c>
      <c r="I13312" s="3" t="inlineStr">
        <is>
          <t>단독</t>
        </is>
      </c>
      <c r="J13312" s="3" t="inlineStr">
        <is>
          <t>연서면</t>
        </is>
      </c>
    </row>
    <row r="13313">
      <c r="A13313" s="3" t="n">
        <v>2026</v>
      </c>
      <c r="B13313" s="4" t="n">
        <v>7000</v>
      </c>
      <c r="C13313" s="4" t="n">
        <v>116</v>
      </c>
      <c r="D13313" s="4" t="n">
        <v>35.09</v>
      </c>
      <c r="E13313" s="5" t="n">
        <v>199.5</v>
      </c>
      <c r="F13313" s="3" t="inlineStr">
        <is>
          <t>전동면</t>
        </is>
      </c>
      <c r="G13313" s="3" t="inlineStr">
        <is>
          <t>노장리</t>
        </is>
      </c>
      <c r="H13313" s="3" t="inlineStr">
        <is>
          <t>단독다가구</t>
        </is>
      </c>
      <c r="I13313" s="3" t="inlineStr">
        <is>
          <t>단독</t>
        </is>
      </c>
      <c r="J13313" s="3" t="inlineStr">
        <is>
          <t>전동면</t>
        </is>
      </c>
    </row>
    <row r="13314">
      <c r="A13314" s="3" t="n">
        <v>2026</v>
      </c>
      <c r="B13314" s="4" t="n">
        <v>58000</v>
      </c>
      <c r="C13314" s="4" t="n">
        <v>329</v>
      </c>
      <c r="D13314" s="4" t="n">
        <v>99.52249999999999</v>
      </c>
      <c r="E13314" s="5" t="n">
        <v>582.8</v>
      </c>
      <c r="F13314" s="3" t="inlineStr">
        <is>
          <t>장군면</t>
        </is>
      </c>
      <c r="G13314" s="3" t="inlineStr">
        <is>
          <t>도계리</t>
        </is>
      </c>
      <c r="H13314" s="3" t="inlineStr">
        <is>
          <t>단독다가구</t>
        </is>
      </c>
      <c r="I13314" s="3" t="inlineStr">
        <is>
          <t>다가구</t>
        </is>
      </c>
      <c r="J13314" s="3" t="inlineStr">
        <is>
          <t>장군면</t>
        </is>
      </c>
    </row>
    <row r="13315">
      <c r="A13315" s="3" t="n">
        <v>2026</v>
      </c>
      <c r="B13315" s="4" t="n">
        <v>36000</v>
      </c>
      <c r="C13315" s="4" t="n">
        <v>871</v>
      </c>
      <c r="D13315" s="4" t="n">
        <v>263.4775</v>
      </c>
      <c r="E13315" s="5" t="n">
        <v>136.6</v>
      </c>
      <c r="F13315" s="3" t="inlineStr">
        <is>
          <t>조치원읍</t>
        </is>
      </c>
      <c r="G13315" s="3" t="inlineStr">
        <is>
          <t>신안리</t>
        </is>
      </c>
      <c r="H13315" s="3" t="inlineStr">
        <is>
          <t>단독다가구</t>
        </is>
      </c>
      <c r="I13315" s="3" t="inlineStr">
        <is>
          <t>다가구</t>
        </is>
      </c>
      <c r="J13315" s="3" t="inlineStr">
        <is>
          <t>조치원읍</t>
        </is>
      </c>
    </row>
    <row r="13316">
      <c r="A13316" s="3" t="n">
        <v>2026</v>
      </c>
      <c r="B13316" s="4" t="n">
        <v>38000</v>
      </c>
      <c r="C13316" s="4" t="n">
        <v>570</v>
      </c>
      <c r="D13316" s="4" t="n">
        <v>172.425</v>
      </c>
      <c r="E13316" s="5" t="n">
        <v>220.4</v>
      </c>
      <c r="F13316" s="3" t="inlineStr">
        <is>
          <t>장군면</t>
        </is>
      </c>
      <c r="G13316" s="3" t="inlineStr">
        <is>
          <t>도계리</t>
        </is>
      </c>
      <c r="H13316" s="3" t="inlineStr">
        <is>
          <t>단독다가구</t>
        </is>
      </c>
      <c r="I13316" s="3" t="inlineStr">
        <is>
          <t>단독</t>
        </is>
      </c>
      <c r="J13316" s="3" t="inlineStr">
        <is>
          <t>장군면</t>
        </is>
      </c>
    </row>
    <row r="13317">
      <c r="A13317" s="3" t="n">
        <v>2026</v>
      </c>
      <c r="B13317" s="4" t="n">
        <v>62000</v>
      </c>
      <c r="C13317" s="4" t="n">
        <v>642</v>
      </c>
      <c r="D13317" s="4" t="n">
        <v>194.205</v>
      </c>
      <c r="E13317" s="5" t="n">
        <v>319.3</v>
      </c>
      <c r="F13317" s="3" t="inlineStr">
        <is>
          <t>장군면</t>
        </is>
      </c>
      <c r="G13317" s="3" t="inlineStr">
        <is>
          <t>은용리</t>
        </is>
      </c>
      <c r="H13317" s="3" t="inlineStr">
        <is>
          <t>단독다가구</t>
        </is>
      </c>
      <c r="I13317" s="3" t="inlineStr">
        <is>
          <t>단독</t>
        </is>
      </c>
      <c r="J13317" s="3" t="inlineStr">
        <is>
          <t>장군면</t>
        </is>
      </c>
    </row>
    <row r="13318">
      <c r="A13318" s="3" t="n">
        <v>2026</v>
      </c>
      <c r="B13318" s="4" t="n">
        <v>71000</v>
      </c>
      <c r="C13318" s="4" t="n">
        <v>660</v>
      </c>
      <c r="D13318" s="4" t="n">
        <v>199.65</v>
      </c>
      <c r="E13318" s="5" t="n">
        <v>355.6</v>
      </c>
      <c r="F13318" s="3" t="inlineStr">
        <is>
          <t>장군면</t>
        </is>
      </c>
      <c r="G13318" s="3" t="inlineStr">
        <is>
          <t>금암리</t>
        </is>
      </c>
      <c r="H13318" s="3" t="inlineStr">
        <is>
          <t>단독다가구</t>
        </is>
      </c>
      <c r="I13318" s="3" t="inlineStr">
        <is>
          <t>다가구</t>
        </is>
      </c>
      <c r="J13318" s="3" t="inlineStr">
        <is>
          <t>장군면</t>
        </is>
      </c>
    </row>
    <row r="13319">
      <c r="A13319" s="3" t="n">
        <v>2026</v>
      </c>
      <c r="B13319" s="4" t="n">
        <v>22006</v>
      </c>
      <c r="C13319" s="4" t="n">
        <v>330</v>
      </c>
      <c r="D13319" s="4" t="n">
        <v>99.825</v>
      </c>
      <c r="E13319" s="5" t="n">
        <v>220.4</v>
      </c>
      <c r="F13319" s="3" t="inlineStr">
        <is>
          <t>전동면</t>
        </is>
      </c>
      <c r="G13319" s="3" t="inlineStr">
        <is>
          <t>심중리</t>
        </is>
      </c>
      <c r="H13319" s="3" t="inlineStr">
        <is>
          <t>단독다가구</t>
        </is>
      </c>
      <c r="I13319" s="3" t="inlineStr">
        <is>
          <t>단독</t>
        </is>
      </c>
      <c r="J13319" s="3" t="inlineStr">
        <is>
          <t>전동면</t>
        </is>
      </c>
    </row>
    <row r="13320">
      <c r="A13320" s="3" t="n">
        <v>2026</v>
      </c>
      <c r="B13320" s="4" t="n">
        <v>22000</v>
      </c>
      <c r="C13320" s="4" t="n">
        <v>376</v>
      </c>
      <c r="D13320" s="4" t="n">
        <v>113.74</v>
      </c>
      <c r="E13320" s="5" t="n">
        <v>193.4</v>
      </c>
      <c r="F13320" s="3" t="inlineStr">
        <is>
          <t>금남면</t>
        </is>
      </c>
      <c r="G13320" s="3" t="inlineStr">
        <is>
          <t>달전리</t>
        </is>
      </c>
      <c r="H13320" s="3" t="inlineStr">
        <is>
          <t>단독다가구</t>
        </is>
      </c>
      <c r="I13320" s="3" t="inlineStr">
        <is>
          <t>단독</t>
        </is>
      </c>
      <c r="J13320" s="3" t="inlineStr">
        <is>
          <t>금남면</t>
        </is>
      </c>
    </row>
    <row r="13321">
      <c r="A13321" s="3" t="n">
        <v>2026</v>
      </c>
      <c r="B13321" s="4" t="n">
        <v>21000</v>
      </c>
      <c r="C13321" s="4" t="n">
        <v>155</v>
      </c>
      <c r="D13321" s="4" t="n">
        <v>46.8875</v>
      </c>
      <c r="E13321" s="5" t="n">
        <v>447.9</v>
      </c>
      <c r="F13321" s="3" t="inlineStr">
        <is>
          <t>조치원읍</t>
        </is>
      </c>
      <c r="G13321" s="3" t="inlineStr">
        <is>
          <t>상리</t>
        </is>
      </c>
      <c r="H13321" s="3" t="inlineStr">
        <is>
          <t>단독다가구</t>
        </is>
      </c>
      <c r="I13321" s="3" t="inlineStr">
        <is>
          <t>단독</t>
        </is>
      </c>
      <c r="J13321" s="3" t="inlineStr">
        <is>
          <t>조치원읍</t>
        </is>
      </c>
    </row>
    <row r="13322">
      <c r="A13322" s="3" t="n">
        <v>2026</v>
      </c>
      <c r="B13322" s="4" t="n">
        <v>35830</v>
      </c>
      <c r="C13322" s="4" t="n">
        <v>800</v>
      </c>
      <c r="D13322" s="4" t="n">
        <v>242</v>
      </c>
      <c r="E13322" s="5" t="n">
        <v>148.1</v>
      </c>
      <c r="F13322" s="3" t="inlineStr">
        <is>
          <t>소정면</t>
        </is>
      </c>
      <c r="G13322" s="3" t="inlineStr">
        <is>
          <t>대곡리</t>
        </is>
      </c>
      <c r="H13322" s="3" t="inlineStr">
        <is>
          <t>단독다가구</t>
        </is>
      </c>
      <c r="I13322" s="3" t="inlineStr">
        <is>
          <t>단독</t>
        </is>
      </c>
      <c r="J13322" s="3" t="inlineStr">
        <is>
          <t>소정면</t>
        </is>
      </c>
    </row>
    <row r="13323">
      <c r="A13323" s="3" t="n">
        <v>2026</v>
      </c>
      <c r="B13323" s="4" t="n">
        <v>21700</v>
      </c>
      <c r="C13323" s="4" t="n">
        <v>165</v>
      </c>
      <c r="D13323" s="4" t="n">
        <v>49.9125</v>
      </c>
      <c r="E13323" s="5" t="n">
        <v>434.8</v>
      </c>
      <c r="F13323" s="3" t="inlineStr">
        <is>
          <t>조치원읍</t>
        </is>
      </c>
      <c r="G13323" s="3" t="inlineStr">
        <is>
          <t>명리</t>
        </is>
      </c>
      <c r="H13323" s="3" t="inlineStr">
        <is>
          <t>단독다가구</t>
        </is>
      </c>
      <c r="I13323" s="3" t="inlineStr">
        <is>
          <t>단독</t>
        </is>
      </c>
      <c r="J13323" s="3" t="inlineStr">
        <is>
          <t>조치원읍</t>
        </is>
      </c>
    </row>
    <row r="13324">
      <c r="A13324" s="3" t="n">
        <v>2026</v>
      </c>
      <c r="B13324" s="4" t="n">
        <v>17500</v>
      </c>
      <c r="C13324" s="4" t="n">
        <v>755</v>
      </c>
      <c r="D13324" s="4" t="n">
        <v>228.3875</v>
      </c>
      <c r="E13324" s="5" t="n">
        <v>76.59999999999999</v>
      </c>
      <c r="F13324" s="3" t="inlineStr">
        <is>
          <t>전동면</t>
        </is>
      </c>
      <c r="G13324" s="3" t="inlineStr">
        <is>
          <t>미곡리</t>
        </is>
      </c>
      <c r="H13324" s="3" t="inlineStr">
        <is>
          <t>단독다가구</t>
        </is>
      </c>
      <c r="I13324" s="3" t="inlineStr">
        <is>
          <t>단독</t>
        </is>
      </c>
      <c r="J13324" s="3" t="inlineStr">
        <is>
          <t>전동면</t>
        </is>
      </c>
    </row>
    <row r="13325">
      <c r="A13325" s="3" t="n">
        <v>2026</v>
      </c>
      <c r="B13325" s="4" t="n">
        <v>43150</v>
      </c>
      <c r="C13325" s="4" t="n">
        <v>396</v>
      </c>
      <c r="D13325" s="4" t="n">
        <v>119.79</v>
      </c>
      <c r="E13325" s="5" t="n">
        <v>360.2</v>
      </c>
      <c r="F13325" s="3" t="inlineStr">
        <is>
          <t>장군면</t>
        </is>
      </c>
      <c r="G13325" s="3" t="inlineStr">
        <is>
          <t>송문리</t>
        </is>
      </c>
      <c r="H13325" s="3" t="inlineStr">
        <is>
          <t>단독다가구</t>
        </is>
      </c>
      <c r="I13325" s="3" t="inlineStr">
        <is>
          <t>단독</t>
        </is>
      </c>
      <c r="J13325" s="3" t="inlineStr">
        <is>
          <t>장군면</t>
        </is>
      </c>
    </row>
    <row r="13326">
      <c r="A13326" s="3" t="n">
        <v>2026</v>
      </c>
      <c r="B13326" s="4" t="n">
        <v>32500</v>
      </c>
      <c r="C13326" s="4" t="n">
        <v>413</v>
      </c>
      <c r="D13326" s="4" t="n">
        <v>124.9325</v>
      </c>
      <c r="E13326" s="5" t="n">
        <v>260.1</v>
      </c>
      <c r="F13326" s="3" t="inlineStr">
        <is>
          <t>연서면</t>
        </is>
      </c>
      <c r="G13326" s="3" t="inlineStr">
        <is>
          <t>국촌리</t>
        </is>
      </c>
      <c r="H13326" s="3" t="inlineStr">
        <is>
          <t>단독다가구</t>
        </is>
      </c>
      <c r="I13326" s="3" t="inlineStr">
        <is>
          <t>단독</t>
        </is>
      </c>
      <c r="J13326" s="3" t="inlineStr">
        <is>
          <t>연서면</t>
        </is>
      </c>
    </row>
    <row r="13327">
      <c r="A13327" s="3" t="n">
        <v>2026</v>
      </c>
      <c r="B13327" s="4" t="n">
        <v>16000</v>
      </c>
      <c r="C13327" s="4" t="n">
        <v>535</v>
      </c>
      <c r="D13327" s="4" t="n">
        <v>161.8375</v>
      </c>
      <c r="E13327" s="5" t="n">
        <v>98.90000000000001</v>
      </c>
      <c r="F13327" s="3" t="inlineStr">
        <is>
          <t>연서면</t>
        </is>
      </c>
      <c r="G13327" s="3" t="inlineStr">
        <is>
          <t>월하리</t>
        </is>
      </c>
      <c r="H13327" s="3" t="inlineStr">
        <is>
          <t>단독다가구</t>
        </is>
      </c>
      <c r="I13327" s="3" t="inlineStr">
        <is>
          <t>단독</t>
        </is>
      </c>
      <c r="J13327" s="3" t="inlineStr">
        <is>
          <t>연서면</t>
        </is>
      </c>
    </row>
    <row r="13328">
      <c r="A13328" s="3" t="n">
        <v>2026</v>
      </c>
      <c r="B13328" s="4" t="n">
        <v>89500</v>
      </c>
      <c r="C13328" s="4" t="n">
        <v>525</v>
      </c>
      <c r="D13328" s="4" t="n">
        <v>158.8125</v>
      </c>
      <c r="E13328" s="5" t="n">
        <v>563.6</v>
      </c>
      <c r="F13328" s="3" t="inlineStr">
        <is>
          <t>금남면</t>
        </is>
      </c>
      <c r="G13328" s="3" t="inlineStr">
        <is>
          <t>황용리</t>
        </is>
      </c>
      <c r="H13328" s="3" t="inlineStr">
        <is>
          <t>단독다가구</t>
        </is>
      </c>
      <c r="I13328" s="3" t="inlineStr">
        <is>
          <t>단독</t>
        </is>
      </c>
      <c r="J13328" s="3" t="inlineStr">
        <is>
          <t>금남면</t>
        </is>
      </c>
    </row>
    <row r="13329">
      <c r="A13329" s="3" t="n">
        <v>2026</v>
      </c>
      <c r="B13329" s="4" t="n">
        <v>46000</v>
      </c>
      <c r="C13329" s="4" t="n">
        <v>341</v>
      </c>
      <c r="D13329" s="4" t="n">
        <v>103.1525</v>
      </c>
      <c r="E13329" s="5" t="n">
        <v>445.9</v>
      </c>
      <c r="F13329" s="3" t="inlineStr">
        <is>
          <t>조치원읍</t>
        </is>
      </c>
      <c r="G13329" s="3" t="inlineStr">
        <is>
          <t>정리</t>
        </is>
      </c>
      <c r="H13329" s="3" t="inlineStr">
        <is>
          <t>단독다가구</t>
        </is>
      </c>
      <c r="I13329" s="3" t="inlineStr">
        <is>
          <t>단독</t>
        </is>
      </c>
      <c r="J13329" s="3" t="inlineStr">
        <is>
          <t>조치원읍</t>
        </is>
      </c>
    </row>
    <row r="13330">
      <c r="A13330" s="3" t="n">
        <v>2026</v>
      </c>
      <c r="B13330" s="4" t="n">
        <v>10000</v>
      </c>
      <c r="C13330" s="4" t="n">
        <v>305</v>
      </c>
      <c r="D13330" s="4" t="n">
        <v>92.2625</v>
      </c>
      <c r="E13330" s="5" t="n">
        <v>108.4</v>
      </c>
      <c r="F13330" s="3" t="inlineStr">
        <is>
          <t>조치원읍</t>
        </is>
      </c>
      <c r="G13330" s="3" t="inlineStr">
        <is>
          <t>신안리</t>
        </is>
      </c>
      <c r="H13330" s="3" t="inlineStr">
        <is>
          <t>단독다가구</t>
        </is>
      </c>
      <c r="I13330" s="3" t="inlineStr">
        <is>
          <t>다가구</t>
        </is>
      </c>
      <c r="J13330" s="3" t="inlineStr">
        <is>
          <t>조치원읍</t>
        </is>
      </c>
    </row>
    <row r="13331">
      <c r="A13331" s="3" t="n">
        <v>2026</v>
      </c>
      <c r="B13331" s="4" t="n">
        <v>120900</v>
      </c>
      <c r="C13331" s="4" t="n">
        <v>373.5</v>
      </c>
      <c r="D13331" s="4" t="n">
        <v>112.98375</v>
      </c>
      <c r="E13331" s="5" t="n">
        <v>1070.1</v>
      </c>
      <c r="F13331" s="3" t="inlineStr">
        <is>
          <t>고운동</t>
        </is>
      </c>
      <c r="G13331" s="3" t="inlineStr"/>
      <c r="H13331" s="3" t="inlineStr">
        <is>
          <t>단독다가구</t>
        </is>
      </c>
      <c r="I13331" s="3" t="inlineStr">
        <is>
          <t>단독</t>
        </is>
      </c>
      <c r="J13331" s="3" t="inlineStr">
        <is>
          <t>고운동</t>
        </is>
      </c>
    </row>
    <row r="13332">
      <c r="A13332" s="3" t="n">
        <v>2026</v>
      </c>
      <c r="B13332" s="4" t="n">
        <v>71000</v>
      </c>
      <c r="C13332" s="4" t="n">
        <v>354</v>
      </c>
      <c r="D13332" s="4" t="n">
        <v>107.085</v>
      </c>
      <c r="E13332" s="5" t="n">
        <v>663</v>
      </c>
      <c r="F13332" s="3" t="inlineStr">
        <is>
          <t>한솔동</t>
        </is>
      </c>
      <c r="G13332" s="3" t="inlineStr"/>
      <c r="H13332" s="3" t="inlineStr">
        <is>
          <t>단독다가구</t>
        </is>
      </c>
      <c r="I13332" s="3" t="inlineStr">
        <is>
          <t>단독</t>
        </is>
      </c>
      <c r="J13332" s="3" t="inlineStr">
        <is>
          <t>한솔동</t>
        </is>
      </c>
    </row>
    <row r="13333">
      <c r="A13333" s="3" t="n">
        <v>2026</v>
      </c>
      <c r="B13333" s="4" t="n">
        <v>15000</v>
      </c>
      <c r="C13333" s="4" t="n">
        <v>132</v>
      </c>
      <c r="D13333" s="4" t="n">
        <v>39.93</v>
      </c>
      <c r="E13333" s="5" t="n">
        <v>375.7</v>
      </c>
      <c r="F13333" s="3" t="inlineStr">
        <is>
          <t>연서면</t>
        </is>
      </c>
      <c r="G13333" s="3" t="inlineStr">
        <is>
          <t>봉암리</t>
        </is>
      </c>
      <c r="H13333" s="3" t="inlineStr">
        <is>
          <t>단독다가구</t>
        </is>
      </c>
      <c r="I13333" s="3" t="inlineStr">
        <is>
          <t>단독</t>
        </is>
      </c>
      <c r="J13333" s="3" t="inlineStr">
        <is>
          <t>연서면</t>
        </is>
      </c>
    </row>
    <row r="13334">
      <c r="A13334" s="3" t="n">
        <v>2026</v>
      </c>
      <c r="B13334" s="4" t="n">
        <v>37900</v>
      </c>
      <c r="C13334" s="4" t="n">
        <v>490</v>
      </c>
      <c r="D13334" s="4" t="n">
        <v>148.225</v>
      </c>
      <c r="E13334" s="5" t="n">
        <v>255.7</v>
      </c>
      <c r="F13334" s="3" t="inlineStr">
        <is>
          <t>장군면</t>
        </is>
      </c>
      <c r="G13334" s="3" t="inlineStr">
        <is>
          <t>도계리</t>
        </is>
      </c>
      <c r="H13334" s="3" t="inlineStr">
        <is>
          <t>단독다가구</t>
        </is>
      </c>
      <c r="I13334" s="3" t="inlineStr">
        <is>
          <t>단독</t>
        </is>
      </c>
      <c r="J13334" s="3" t="inlineStr">
        <is>
          <t>장군면</t>
        </is>
      </c>
    </row>
    <row r="13335">
      <c r="A13335" s="3" t="n">
        <v>2026</v>
      </c>
      <c r="B13335" s="4" t="n">
        <v>10000</v>
      </c>
      <c r="C13335" s="4" t="n">
        <v>305</v>
      </c>
      <c r="D13335" s="4" t="n">
        <v>92.2625</v>
      </c>
      <c r="E13335" s="5" t="n">
        <v>108.4</v>
      </c>
      <c r="F13335" s="3" t="inlineStr">
        <is>
          <t>조치원읍</t>
        </is>
      </c>
      <c r="G13335" s="3" t="inlineStr">
        <is>
          <t>신안리</t>
        </is>
      </c>
      <c r="H13335" s="3" t="inlineStr">
        <is>
          <t>단독다가구</t>
        </is>
      </c>
      <c r="I13335" s="3" t="inlineStr">
        <is>
          <t>다가구</t>
        </is>
      </c>
      <c r="J13335" s="3" t="inlineStr">
        <is>
          <t>조치원읍</t>
        </is>
      </c>
    </row>
    <row r="13336">
      <c r="A13336" s="3" t="n">
        <v>2026</v>
      </c>
      <c r="B13336" s="4" t="n">
        <v>117692</v>
      </c>
      <c r="C13336" s="4" t="n">
        <v>478</v>
      </c>
      <c r="D13336" s="4" t="n">
        <v>144.595</v>
      </c>
      <c r="E13336" s="5" t="n">
        <v>813.9</v>
      </c>
      <c r="F13336" s="3" t="inlineStr">
        <is>
          <t>연서면</t>
        </is>
      </c>
      <c r="G13336" s="3" t="inlineStr">
        <is>
          <t>월하리</t>
        </is>
      </c>
      <c r="H13336" s="3" t="inlineStr">
        <is>
          <t>단독다가구</t>
        </is>
      </c>
      <c r="I13336" s="3" t="inlineStr">
        <is>
          <t>다가구</t>
        </is>
      </c>
      <c r="J13336" s="3" t="inlineStr">
        <is>
          <t>연서면</t>
        </is>
      </c>
    </row>
    <row r="13337">
      <c r="A13337" s="3" t="n">
        <v>2026</v>
      </c>
      <c r="B13337" s="4" t="n">
        <v>10000</v>
      </c>
      <c r="C13337" s="4" t="n">
        <v>324</v>
      </c>
      <c r="D13337" s="4" t="n">
        <v>98.00999999999999</v>
      </c>
      <c r="E13337" s="5" t="n">
        <v>102</v>
      </c>
      <c r="F13337" s="3" t="inlineStr">
        <is>
          <t>금남면</t>
        </is>
      </c>
      <c r="G13337" s="3" t="inlineStr">
        <is>
          <t>영치리</t>
        </is>
      </c>
      <c r="H13337" s="3" t="inlineStr">
        <is>
          <t>단독다가구</t>
        </is>
      </c>
      <c r="I13337" s="3" t="inlineStr">
        <is>
          <t>단독</t>
        </is>
      </c>
      <c r="J13337" s="3" t="inlineStr">
        <is>
          <t>금남면</t>
        </is>
      </c>
    </row>
    <row r="13338">
      <c r="A13338" s="3" t="n">
        <v>2026</v>
      </c>
      <c r="B13338" s="4" t="n">
        <v>6000</v>
      </c>
      <c r="C13338" s="4" t="n">
        <v>340.4</v>
      </c>
      <c r="D13338" s="4" t="n">
        <v>102.971</v>
      </c>
      <c r="E13338" s="5" t="n">
        <v>58.3</v>
      </c>
      <c r="F13338" s="3" t="inlineStr">
        <is>
          <t>소정면</t>
        </is>
      </c>
      <c r="G13338" s="3" t="inlineStr">
        <is>
          <t>운당리</t>
        </is>
      </c>
      <c r="H13338" s="3" t="inlineStr">
        <is>
          <t>단독다가구</t>
        </is>
      </c>
      <c r="I13338" s="3" t="inlineStr">
        <is>
          <t>단독</t>
        </is>
      </c>
      <c r="J13338" s="3" t="inlineStr">
        <is>
          <t>소정면</t>
        </is>
      </c>
    </row>
    <row r="13339">
      <c r="A13339" s="3" t="n">
        <v>2026</v>
      </c>
      <c r="B13339" s="4" t="n">
        <v>85783</v>
      </c>
      <c r="C13339" s="4" t="n">
        <v>297</v>
      </c>
      <c r="D13339" s="4" t="n">
        <v>89.8425</v>
      </c>
      <c r="E13339" s="5" t="n">
        <v>954.8</v>
      </c>
      <c r="F13339" s="3" t="inlineStr">
        <is>
          <t>연기면</t>
        </is>
      </c>
      <c r="G13339" s="3" t="inlineStr">
        <is>
          <t>연기리</t>
        </is>
      </c>
      <c r="H13339" s="3" t="inlineStr">
        <is>
          <t>단독다가구</t>
        </is>
      </c>
      <c r="I13339" s="3" t="inlineStr">
        <is>
          <t>단독</t>
        </is>
      </c>
      <c r="J13339" s="3" t="inlineStr">
        <is>
          <t>연기면</t>
        </is>
      </c>
    </row>
    <row r="13340">
      <c r="A13340" s="3" t="n">
        <v>2026</v>
      </c>
      <c r="B13340" s="4" t="n">
        <v>45000</v>
      </c>
      <c r="C13340" s="4" t="n">
        <v>500</v>
      </c>
      <c r="D13340" s="4" t="n">
        <v>151.25</v>
      </c>
      <c r="E13340" s="5" t="n">
        <v>297.5</v>
      </c>
      <c r="F13340" s="3" t="inlineStr">
        <is>
          <t>연서면</t>
        </is>
      </c>
      <c r="G13340" s="3" t="inlineStr">
        <is>
          <t>월하리</t>
        </is>
      </c>
      <c r="H13340" s="3" t="inlineStr">
        <is>
          <t>단독다가구</t>
        </is>
      </c>
      <c r="I13340" s="3" t="inlineStr">
        <is>
          <t>단독</t>
        </is>
      </c>
      <c r="J13340" s="3" t="inlineStr">
        <is>
          <t>연서면</t>
        </is>
      </c>
    </row>
    <row r="13341">
      <c r="A13341" s="3" t="n">
        <v>2026</v>
      </c>
      <c r="B13341" s="4" t="n">
        <v>88500</v>
      </c>
      <c r="C13341" s="4" t="n">
        <v>297</v>
      </c>
      <c r="D13341" s="4" t="n">
        <v>89.8425</v>
      </c>
      <c r="E13341" s="5" t="n">
        <v>985.1</v>
      </c>
      <c r="F13341" s="3" t="inlineStr">
        <is>
          <t>연기면</t>
        </is>
      </c>
      <c r="G13341" s="3" t="inlineStr">
        <is>
          <t>연기리</t>
        </is>
      </c>
      <c r="H13341" s="3" t="inlineStr">
        <is>
          <t>단독다가구</t>
        </is>
      </c>
      <c r="I13341" s="3" t="inlineStr">
        <is>
          <t>단독</t>
        </is>
      </c>
      <c r="J13341" s="3" t="inlineStr">
        <is>
          <t>연기면</t>
        </is>
      </c>
    </row>
    <row r="13342">
      <c r="A13342" s="3" t="n">
        <v>2026</v>
      </c>
      <c r="B13342" s="4" t="n">
        <v>100000</v>
      </c>
      <c r="C13342" s="4" t="n">
        <v>331.7</v>
      </c>
      <c r="D13342" s="4" t="n">
        <v>100.33925</v>
      </c>
      <c r="E13342" s="5" t="n">
        <v>996.6</v>
      </c>
      <c r="F13342" s="3" t="inlineStr">
        <is>
          <t>한솔동</t>
        </is>
      </c>
      <c r="G13342" s="3" t="inlineStr"/>
      <c r="H13342" s="3" t="inlineStr">
        <is>
          <t>단독다가구</t>
        </is>
      </c>
      <c r="I13342" s="3" t="inlineStr">
        <is>
          <t>단독</t>
        </is>
      </c>
      <c r="J13342" s="3" t="inlineStr">
        <is>
          <t>한솔동</t>
        </is>
      </c>
    </row>
    <row r="13343">
      <c r="A13343" s="3" t="n">
        <v>2026</v>
      </c>
      <c r="B13343" s="4" t="n">
        <v>56000</v>
      </c>
      <c r="C13343" s="4" t="n">
        <v>464</v>
      </c>
      <c r="D13343" s="4" t="n">
        <v>140.36</v>
      </c>
      <c r="E13343" s="5" t="n">
        <v>399</v>
      </c>
      <c r="F13343" s="3" t="inlineStr">
        <is>
          <t>조치원읍</t>
        </is>
      </c>
      <c r="G13343" s="3" t="inlineStr">
        <is>
          <t>신안리</t>
        </is>
      </c>
      <c r="H13343" s="3" t="inlineStr">
        <is>
          <t>단독다가구</t>
        </is>
      </c>
      <c r="I13343" s="3" t="inlineStr">
        <is>
          <t>다가구</t>
        </is>
      </c>
      <c r="J13343" s="3" t="inlineStr">
        <is>
          <t>조치원읍</t>
        </is>
      </c>
    </row>
    <row r="13344">
      <c r="A13344" s="3" t="n">
        <v>2026</v>
      </c>
      <c r="B13344" s="4" t="n">
        <v>12000</v>
      </c>
      <c r="C13344" s="4" t="n">
        <v>120</v>
      </c>
      <c r="D13344" s="4" t="n">
        <v>36.3</v>
      </c>
      <c r="E13344" s="5" t="n">
        <v>330.6</v>
      </c>
      <c r="F13344" s="3" t="inlineStr">
        <is>
          <t>조치원읍</t>
        </is>
      </c>
      <c r="G13344" s="3" t="inlineStr">
        <is>
          <t>남리</t>
        </is>
      </c>
      <c r="H13344" s="3" t="inlineStr">
        <is>
          <t>단독다가구</t>
        </is>
      </c>
      <c r="I13344" s="3" t="inlineStr">
        <is>
          <t>단독</t>
        </is>
      </c>
      <c r="J13344" s="3" t="inlineStr">
        <is>
          <t>조치원읍</t>
        </is>
      </c>
    </row>
    <row r="13345">
      <c r="A13345" s="3" t="n">
        <v>2026</v>
      </c>
      <c r="B13345" s="4" t="n">
        <v>41700</v>
      </c>
      <c r="C13345" s="4" t="n">
        <v>227</v>
      </c>
      <c r="D13345" s="4" t="n">
        <v>68.6675</v>
      </c>
      <c r="E13345" s="5" t="n">
        <v>607.3</v>
      </c>
      <c r="F13345" s="3" t="inlineStr">
        <is>
          <t>금남면</t>
        </is>
      </c>
      <c r="G13345" s="3" t="inlineStr">
        <is>
          <t>국곡리</t>
        </is>
      </c>
      <c r="H13345" s="3" t="inlineStr">
        <is>
          <t>단독다가구</t>
        </is>
      </c>
      <c r="I13345" s="3" t="inlineStr">
        <is>
          <t>다가구</t>
        </is>
      </c>
      <c r="J13345" s="3" t="inlineStr">
        <is>
          <t>금남면</t>
        </is>
      </c>
    </row>
    <row r="13346">
      <c r="A13346" s="3" t="n">
        <v>2026</v>
      </c>
      <c r="B13346" s="4" t="n">
        <v>95000</v>
      </c>
      <c r="C13346" s="4" t="n">
        <v>496</v>
      </c>
      <c r="D13346" s="4" t="n">
        <v>150.04</v>
      </c>
      <c r="E13346" s="5" t="n">
        <v>633.2</v>
      </c>
      <c r="F13346" s="3" t="inlineStr">
        <is>
          <t>장군면</t>
        </is>
      </c>
      <c r="G13346" s="3" t="inlineStr">
        <is>
          <t>대교리</t>
        </is>
      </c>
      <c r="H13346" s="3" t="inlineStr">
        <is>
          <t>단독다가구</t>
        </is>
      </c>
      <c r="I13346" s="3" t="inlineStr">
        <is>
          <t>다가구</t>
        </is>
      </c>
      <c r="J13346" s="3" t="inlineStr">
        <is>
          <t>장군면</t>
        </is>
      </c>
    </row>
    <row r="13347">
      <c r="A13347" s="3" t="n">
        <v>2026</v>
      </c>
      <c r="B13347" s="4" t="n">
        <v>8000</v>
      </c>
      <c r="C13347" s="4" t="n">
        <v>177</v>
      </c>
      <c r="D13347" s="4" t="n">
        <v>53.5425</v>
      </c>
      <c r="E13347" s="5" t="n">
        <v>149.4</v>
      </c>
      <c r="F13347" s="3" t="inlineStr">
        <is>
          <t>금남면</t>
        </is>
      </c>
      <c r="G13347" s="3" t="inlineStr">
        <is>
          <t>발산리</t>
        </is>
      </c>
      <c r="H13347" s="3" t="inlineStr">
        <is>
          <t>단독다가구</t>
        </is>
      </c>
      <c r="I13347" s="3" t="inlineStr">
        <is>
          <t>단독</t>
        </is>
      </c>
      <c r="J13347" s="3" t="inlineStr">
        <is>
          <t>금남면</t>
        </is>
      </c>
    </row>
    <row r="13348">
      <c r="A13348" s="3" t="n">
        <v>2026</v>
      </c>
      <c r="B13348" s="4" t="n">
        <v>90000</v>
      </c>
      <c r="C13348" s="4" t="n">
        <v>346</v>
      </c>
      <c r="D13348" s="4" t="n">
        <v>104.665</v>
      </c>
      <c r="E13348" s="5" t="n">
        <v>859.9</v>
      </c>
      <c r="F13348" s="3" t="inlineStr">
        <is>
          <t>고운동</t>
        </is>
      </c>
      <c r="G13348" s="3" t="inlineStr"/>
      <c r="H13348" s="3" t="inlineStr">
        <is>
          <t>단독다가구</t>
        </is>
      </c>
      <c r="I13348" s="3" t="inlineStr">
        <is>
          <t>단독</t>
        </is>
      </c>
      <c r="J13348" s="3" t="inlineStr">
        <is>
          <t>고운동</t>
        </is>
      </c>
    </row>
    <row r="13349">
      <c r="A13349" s="3" t="n">
        <v>2026</v>
      </c>
      <c r="B13349" s="4" t="n">
        <v>19000</v>
      </c>
      <c r="C13349" s="4" t="n">
        <v>350</v>
      </c>
      <c r="D13349" s="4" t="n">
        <v>105.875</v>
      </c>
      <c r="E13349" s="5" t="n">
        <v>179.5</v>
      </c>
      <c r="F13349" s="3" t="inlineStr">
        <is>
          <t>부강면</t>
        </is>
      </c>
      <c r="G13349" s="3" t="inlineStr">
        <is>
          <t>문곡리</t>
        </is>
      </c>
      <c r="H13349" s="3" t="inlineStr">
        <is>
          <t>단독다가구</t>
        </is>
      </c>
      <c r="I13349" s="3" t="inlineStr">
        <is>
          <t>단독</t>
        </is>
      </c>
      <c r="J13349" s="3" t="inlineStr">
        <is>
          <t>부강면</t>
        </is>
      </c>
    </row>
    <row r="13350">
      <c r="A13350" s="3" t="n">
        <v>2026</v>
      </c>
      <c r="B13350" s="4" t="n">
        <v>19000</v>
      </c>
      <c r="C13350" s="4" t="n">
        <v>171</v>
      </c>
      <c r="D13350" s="4" t="n">
        <v>51.7275</v>
      </c>
      <c r="E13350" s="5" t="n">
        <v>367.3</v>
      </c>
      <c r="F13350" s="3" t="inlineStr">
        <is>
          <t>조치원읍</t>
        </is>
      </c>
      <c r="G13350" s="3" t="inlineStr">
        <is>
          <t>명리</t>
        </is>
      </c>
      <c r="H13350" s="3" t="inlineStr">
        <is>
          <t>단독다가구</t>
        </is>
      </c>
      <c r="I13350" s="3" t="inlineStr">
        <is>
          <t>단독</t>
        </is>
      </c>
      <c r="J13350" s="3" t="inlineStr">
        <is>
          <t>조치원읍</t>
        </is>
      </c>
    </row>
    <row r="13351">
      <c r="A13351" s="3" t="n">
        <v>2026</v>
      </c>
      <c r="B13351" s="4" t="n">
        <v>64380</v>
      </c>
      <c r="C13351" s="4" t="n">
        <v>491</v>
      </c>
      <c r="D13351" s="4" t="n">
        <v>148.5275</v>
      </c>
      <c r="E13351" s="5" t="n">
        <v>433.5</v>
      </c>
      <c r="F13351" s="3" t="inlineStr">
        <is>
          <t>장군면</t>
        </is>
      </c>
      <c r="G13351" s="3" t="inlineStr">
        <is>
          <t>봉안리</t>
        </is>
      </c>
      <c r="H13351" s="3" t="inlineStr">
        <is>
          <t>단독다가구</t>
        </is>
      </c>
      <c r="I13351" s="3" t="inlineStr">
        <is>
          <t>다가구</t>
        </is>
      </c>
      <c r="J13351" s="3" t="inlineStr">
        <is>
          <t>장군면</t>
        </is>
      </c>
    </row>
    <row r="13352">
      <c r="A13352" s="3" t="n">
        <v>2026</v>
      </c>
      <c r="B13352" s="4" t="n">
        <v>64380</v>
      </c>
      <c r="C13352" s="4" t="n">
        <v>491</v>
      </c>
      <c r="D13352" s="4" t="n">
        <v>148.5275</v>
      </c>
      <c r="E13352" s="5" t="n">
        <v>433.5</v>
      </c>
      <c r="F13352" s="3" t="inlineStr">
        <is>
          <t>장군면</t>
        </is>
      </c>
      <c r="G13352" s="3" t="inlineStr">
        <is>
          <t>봉안리</t>
        </is>
      </c>
      <c r="H13352" s="3" t="inlineStr">
        <is>
          <t>단독다가구</t>
        </is>
      </c>
      <c r="I13352" s="3" t="inlineStr">
        <is>
          <t>다가구</t>
        </is>
      </c>
      <c r="J13352" s="3" t="inlineStr">
        <is>
          <t>장군면</t>
        </is>
      </c>
    </row>
    <row r="13353">
      <c r="A13353" s="3" t="n">
        <v>2026</v>
      </c>
      <c r="B13353" s="4" t="n">
        <v>6200</v>
      </c>
      <c r="C13353" s="4" t="n">
        <v>368</v>
      </c>
      <c r="D13353" s="4" t="n">
        <v>111.32</v>
      </c>
      <c r="E13353" s="5" t="n">
        <v>55.7</v>
      </c>
      <c r="F13353" s="3" t="inlineStr">
        <is>
          <t>금남면</t>
        </is>
      </c>
      <c r="G13353" s="3" t="inlineStr">
        <is>
          <t>영대리</t>
        </is>
      </c>
      <c r="H13353" s="3" t="inlineStr">
        <is>
          <t>단독다가구</t>
        </is>
      </c>
      <c r="I13353" s="3" t="inlineStr">
        <is>
          <t>단독</t>
        </is>
      </c>
      <c r="J13353" s="3" t="inlineStr">
        <is>
          <t>금남면</t>
        </is>
      </c>
    </row>
    <row r="13354">
      <c r="A13354" s="3" t="n">
        <v>2026</v>
      </c>
      <c r="B13354" s="4" t="n">
        <v>14800</v>
      </c>
      <c r="C13354" s="4" t="n">
        <v>195</v>
      </c>
      <c r="D13354" s="4" t="n">
        <v>58.9875</v>
      </c>
      <c r="E13354" s="5" t="n">
        <v>250.9</v>
      </c>
      <c r="F13354" s="3" t="inlineStr">
        <is>
          <t>조치원읍</t>
        </is>
      </c>
      <c r="G13354" s="3" t="inlineStr">
        <is>
          <t>상리</t>
        </is>
      </c>
      <c r="H13354" s="3" t="inlineStr">
        <is>
          <t>단독다가구</t>
        </is>
      </c>
      <c r="I13354" s="3" t="inlineStr">
        <is>
          <t>단독</t>
        </is>
      </c>
      <c r="J13354" s="3" t="inlineStr">
        <is>
          <t>조치원읍</t>
        </is>
      </c>
    </row>
    <row r="13355">
      <c r="A13355" s="3" t="n">
        <v>2026</v>
      </c>
      <c r="B13355" s="4" t="n">
        <v>77000</v>
      </c>
      <c r="C13355" s="4" t="n">
        <v>335</v>
      </c>
      <c r="D13355" s="4" t="n">
        <v>101.3375</v>
      </c>
      <c r="E13355" s="5" t="n">
        <v>759.8</v>
      </c>
      <c r="F13355" s="3" t="inlineStr">
        <is>
          <t>고운동</t>
        </is>
      </c>
      <c r="G13355" s="3" t="inlineStr"/>
      <c r="H13355" s="3" t="inlineStr">
        <is>
          <t>단독다가구</t>
        </is>
      </c>
      <c r="I13355" s="3" t="inlineStr">
        <is>
          <t>단독</t>
        </is>
      </c>
      <c r="J13355" s="3" t="inlineStr">
        <is>
          <t>고운동</t>
        </is>
      </c>
    </row>
    <row r="13356">
      <c r="A13356" s="3" t="n">
        <v>2022</v>
      </c>
      <c r="B13356" s="4" t="n">
        <v>12000</v>
      </c>
      <c r="C13356" s="4" t="n">
        <v>235</v>
      </c>
      <c r="D13356" s="4" t="n">
        <v>71.08749999999999</v>
      </c>
      <c r="E13356" s="5" t="n">
        <v>168.8</v>
      </c>
      <c r="F13356" s="3" t="inlineStr">
        <is>
          <t>유구읍</t>
        </is>
      </c>
      <c r="G13356" s="3" t="inlineStr">
        <is>
          <t>녹천리</t>
        </is>
      </c>
      <c r="H13356" s="3" t="inlineStr">
        <is>
          <t>단독다가구</t>
        </is>
      </c>
      <c r="I13356" s="3" t="inlineStr">
        <is>
          <t>단독</t>
        </is>
      </c>
      <c r="J13356" s="3" t="inlineStr">
        <is>
          <t>유구읍</t>
        </is>
      </c>
    </row>
    <row r="13357">
      <c r="A13357" s="3" t="n">
        <v>2022</v>
      </c>
      <c r="B13357" s="4" t="n">
        <v>11000</v>
      </c>
      <c r="C13357" s="4" t="n">
        <v>269</v>
      </c>
      <c r="D13357" s="4" t="n">
        <v>81.3725</v>
      </c>
      <c r="E13357" s="5" t="n">
        <v>135.2</v>
      </c>
      <c r="F13357" s="3" t="inlineStr">
        <is>
          <t>유구읍</t>
        </is>
      </c>
      <c r="G13357" s="3" t="inlineStr">
        <is>
          <t>석남리</t>
        </is>
      </c>
      <c r="H13357" s="3" t="inlineStr">
        <is>
          <t>단독다가구</t>
        </is>
      </c>
      <c r="I13357" s="3" t="inlineStr">
        <is>
          <t>단독</t>
        </is>
      </c>
      <c r="J13357" s="3" t="inlineStr">
        <is>
          <t>유구읍</t>
        </is>
      </c>
    </row>
    <row r="13358">
      <c r="A13358" s="3" t="n">
        <v>2022</v>
      </c>
      <c r="B13358" s="4" t="n">
        <v>8650</v>
      </c>
      <c r="C13358" s="4" t="n">
        <v>330</v>
      </c>
      <c r="D13358" s="4" t="n">
        <v>99.825</v>
      </c>
      <c r="E13358" s="5" t="n">
        <v>86.7</v>
      </c>
      <c r="F13358" s="3" t="inlineStr">
        <is>
          <t>유구읍</t>
        </is>
      </c>
      <c r="G13358" s="3" t="inlineStr">
        <is>
          <t>명곡리</t>
        </is>
      </c>
      <c r="H13358" s="3" t="inlineStr">
        <is>
          <t>단독다가구</t>
        </is>
      </c>
      <c r="I13358" s="3" t="inlineStr">
        <is>
          <t>단독</t>
        </is>
      </c>
      <c r="J13358" s="3" t="inlineStr">
        <is>
          <t>유구읍</t>
        </is>
      </c>
    </row>
    <row r="13359">
      <c r="A13359" s="3" t="n">
        <v>2022</v>
      </c>
      <c r="B13359" s="4" t="n">
        <v>10200</v>
      </c>
      <c r="C13359" s="4" t="n">
        <v>307</v>
      </c>
      <c r="D13359" s="4" t="n">
        <v>92.86749999999999</v>
      </c>
      <c r="E13359" s="5" t="n">
        <v>109.8</v>
      </c>
      <c r="F13359" s="3" t="inlineStr">
        <is>
          <t>유구읍</t>
        </is>
      </c>
      <c r="G13359" s="3" t="inlineStr">
        <is>
          <t>석남리</t>
        </is>
      </c>
      <c r="H13359" s="3" t="inlineStr">
        <is>
          <t>단독다가구</t>
        </is>
      </c>
      <c r="I13359" s="3" t="inlineStr">
        <is>
          <t>단독</t>
        </is>
      </c>
      <c r="J13359" s="3" t="inlineStr">
        <is>
          <t>유구읍</t>
        </is>
      </c>
    </row>
    <row r="13360">
      <c r="A13360" s="3" t="n">
        <v>2022</v>
      </c>
      <c r="B13360" s="4" t="n">
        <v>38000</v>
      </c>
      <c r="C13360" s="4" t="n">
        <v>903</v>
      </c>
      <c r="D13360" s="4" t="n">
        <v>273.1575</v>
      </c>
      <c r="E13360" s="5" t="n">
        <v>139.1</v>
      </c>
      <c r="F13360" s="3" t="inlineStr">
        <is>
          <t>유구읍</t>
        </is>
      </c>
      <c r="G13360" s="3" t="inlineStr">
        <is>
          <t>문금리</t>
        </is>
      </c>
      <c r="H13360" s="3" t="inlineStr">
        <is>
          <t>단독다가구</t>
        </is>
      </c>
      <c r="I13360" s="3" t="inlineStr">
        <is>
          <t>단독</t>
        </is>
      </c>
      <c r="J13360" s="3" t="inlineStr">
        <is>
          <t>유구읍</t>
        </is>
      </c>
    </row>
    <row r="13361">
      <c r="A13361" s="3" t="n">
        <v>2022</v>
      </c>
      <c r="B13361" s="4" t="n">
        <v>24255</v>
      </c>
      <c r="C13361" s="4" t="n">
        <v>998</v>
      </c>
      <c r="D13361" s="4" t="n">
        <v>301.895</v>
      </c>
      <c r="E13361" s="5" t="n">
        <v>80.3</v>
      </c>
      <c r="F13361" s="3" t="inlineStr">
        <is>
          <t>유구읍</t>
        </is>
      </c>
      <c r="G13361" s="3" t="inlineStr">
        <is>
          <t>만천리</t>
        </is>
      </c>
      <c r="H13361" s="3" t="inlineStr">
        <is>
          <t>단독다가구</t>
        </is>
      </c>
      <c r="I13361" s="3" t="inlineStr">
        <is>
          <t>단독</t>
        </is>
      </c>
      <c r="J13361" s="3" t="inlineStr">
        <is>
          <t>유구읍</t>
        </is>
      </c>
    </row>
    <row r="13362">
      <c r="A13362" s="3" t="n">
        <v>2022</v>
      </c>
      <c r="B13362" s="4" t="n">
        <v>8700</v>
      </c>
      <c r="C13362" s="4" t="n">
        <v>357</v>
      </c>
      <c r="D13362" s="4" t="n">
        <v>107.9925</v>
      </c>
      <c r="E13362" s="5" t="n">
        <v>80.59999999999999</v>
      </c>
      <c r="F13362" s="3" t="inlineStr">
        <is>
          <t>유구읍</t>
        </is>
      </c>
      <c r="G13362" s="3" t="inlineStr">
        <is>
          <t>석남리</t>
        </is>
      </c>
      <c r="H13362" s="3" t="inlineStr">
        <is>
          <t>단독다가구</t>
        </is>
      </c>
      <c r="I13362" s="3" t="inlineStr">
        <is>
          <t>단독</t>
        </is>
      </c>
      <c r="J13362" s="3" t="inlineStr">
        <is>
          <t>유구읍</t>
        </is>
      </c>
    </row>
    <row r="13363">
      <c r="A13363" s="3" t="n">
        <v>2022</v>
      </c>
      <c r="B13363" s="4" t="n">
        <v>6500</v>
      </c>
      <c r="C13363" s="4" t="n">
        <v>120</v>
      </c>
      <c r="D13363" s="4" t="n">
        <v>36.3</v>
      </c>
      <c r="E13363" s="5" t="n">
        <v>179.1</v>
      </c>
      <c r="F13363" s="3" t="inlineStr">
        <is>
          <t>유구읍</t>
        </is>
      </c>
      <c r="G13363" s="3" t="inlineStr">
        <is>
          <t>석남리</t>
        </is>
      </c>
      <c r="H13363" s="3" t="inlineStr">
        <is>
          <t>단독다가구</t>
        </is>
      </c>
      <c r="I13363" s="3" t="inlineStr">
        <is>
          <t>단독</t>
        </is>
      </c>
      <c r="J13363" s="3" t="inlineStr">
        <is>
          <t>유구읍</t>
        </is>
      </c>
    </row>
    <row r="13364">
      <c r="A13364" s="3" t="n">
        <v>2022</v>
      </c>
      <c r="B13364" s="4" t="n">
        <v>2000</v>
      </c>
      <c r="C13364" s="4" t="n">
        <v>397</v>
      </c>
      <c r="D13364" s="4" t="n">
        <v>120.0925</v>
      </c>
      <c r="E13364" s="5" t="n">
        <v>16.7</v>
      </c>
      <c r="F13364" s="3" t="inlineStr">
        <is>
          <t>유구읍</t>
        </is>
      </c>
      <c r="G13364" s="3" t="inlineStr">
        <is>
          <t>문금리</t>
        </is>
      </c>
      <c r="H13364" s="3" t="inlineStr">
        <is>
          <t>단독다가구</t>
        </is>
      </c>
      <c r="I13364" s="3" t="inlineStr">
        <is>
          <t>단독</t>
        </is>
      </c>
      <c r="J13364" s="3" t="inlineStr">
        <is>
          <t>유구읍</t>
        </is>
      </c>
    </row>
    <row r="13365">
      <c r="A13365" s="3" t="n">
        <v>2022</v>
      </c>
      <c r="B13365" s="4" t="n">
        <v>3500</v>
      </c>
      <c r="C13365" s="4" t="n">
        <v>295</v>
      </c>
      <c r="D13365" s="4" t="n">
        <v>89.2375</v>
      </c>
      <c r="E13365" s="5" t="n">
        <v>39.2</v>
      </c>
      <c r="F13365" s="3" t="inlineStr">
        <is>
          <t>유구읍</t>
        </is>
      </c>
      <c r="G13365" s="3" t="inlineStr">
        <is>
          <t>백교리</t>
        </is>
      </c>
      <c r="H13365" s="3" t="inlineStr">
        <is>
          <t>단독다가구</t>
        </is>
      </c>
      <c r="I13365" s="3" t="inlineStr">
        <is>
          <t>단독</t>
        </is>
      </c>
      <c r="J13365" s="3" t="inlineStr">
        <is>
          <t>유구읍</t>
        </is>
      </c>
    </row>
    <row r="13366">
      <c r="A13366" s="3" t="n">
        <v>2022</v>
      </c>
      <c r="B13366" s="4" t="n">
        <v>29500</v>
      </c>
      <c r="C13366" s="4" t="n">
        <v>925</v>
      </c>
      <c r="D13366" s="4" t="n">
        <v>279.8125</v>
      </c>
      <c r="E13366" s="5" t="n">
        <v>105.4</v>
      </c>
      <c r="F13366" s="3" t="inlineStr">
        <is>
          <t>유구읍</t>
        </is>
      </c>
      <c r="G13366" s="3" t="inlineStr">
        <is>
          <t>문금리</t>
        </is>
      </c>
      <c r="H13366" s="3" t="inlineStr">
        <is>
          <t>단독다가구</t>
        </is>
      </c>
      <c r="I13366" s="3" t="inlineStr">
        <is>
          <t>단독</t>
        </is>
      </c>
      <c r="J13366" s="3" t="inlineStr">
        <is>
          <t>유구읍</t>
        </is>
      </c>
    </row>
    <row r="13367">
      <c r="A13367" s="3" t="n">
        <v>2023</v>
      </c>
      <c r="B13367" s="4" t="n">
        <v>14500</v>
      </c>
      <c r="C13367" s="4" t="n">
        <v>277</v>
      </c>
      <c r="D13367" s="4" t="n">
        <v>83.7925</v>
      </c>
      <c r="E13367" s="5" t="n">
        <v>173</v>
      </c>
      <c r="F13367" s="3" t="inlineStr">
        <is>
          <t>유구읍</t>
        </is>
      </c>
      <c r="G13367" s="3" t="inlineStr">
        <is>
          <t>구계리</t>
        </is>
      </c>
      <c r="H13367" s="3" t="inlineStr">
        <is>
          <t>단독다가구</t>
        </is>
      </c>
      <c r="I13367" s="3" t="inlineStr">
        <is>
          <t>단독</t>
        </is>
      </c>
      <c r="J13367" s="3" t="inlineStr">
        <is>
          <t>유구읍</t>
        </is>
      </c>
    </row>
    <row r="13368">
      <c r="A13368" s="3" t="n">
        <v>2024</v>
      </c>
      <c r="B13368" s="4" t="n">
        <v>37000</v>
      </c>
      <c r="C13368" s="4" t="n">
        <v>798</v>
      </c>
      <c r="D13368" s="4" t="n">
        <v>241.395</v>
      </c>
      <c r="E13368" s="5" t="n">
        <v>153.3</v>
      </c>
      <c r="F13368" s="3" t="inlineStr">
        <is>
          <t>유구읍</t>
        </is>
      </c>
      <c r="G13368" s="3" t="inlineStr">
        <is>
          <t>유구리</t>
        </is>
      </c>
      <c r="H13368" s="3" t="inlineStr">
        <is>
          <t>단독다가구</t>
        </is>
      </c>
      <c r="I13368" s="3" t="inlineStr">
        <is>
          <t>단독</t>
        </is>
      </c>
      <c r="J13368" s="3" t="inlineStr">
        <is>
          <t>유구읍</t>
        </is>
      </c>
    </row>
    <row r="13369">
      <c r="A13369" s="3" t="n">
        <v>2024</v>
      </c>
      <c r="B13369" s="4" t="n">
        <v>1000</v>
      </c>
      <c r="C13369" s="4" t="n">
        <v>417</v>
      </c>
      <c r="D13369" s="4" t="n">
        <v>126.1425</v>
      </c>
      <c r="E13369" s="5" t="n">
        <v>7.9</v>
      </c>
      <c r="F13369" s="3" t="inlineStr">
        <is>
          <t>유구읍</t>
        </is>
      </c>
      <c r="G13369" s="3" t="inlineStr">
        <is>
          <t>추계리</t>
        </is>
      </c>
      <c r="H13369" s="3" t="inlineStr">
        <is>
          <t>단독다가구</t>
        </is>
      </c>
      <c r="I13369" s="3" t="inlineStr">
        <is>
          <t>단독</t>
        </is>
      </c>
      <c r="J13369" s="3" t="inlineStr">
        <is>
          <t>유구읍</t>
        </is>
      </c>
    </row>
    <row r="13370">
      <c r="A13370" s="3" t="n">
        <v>2024</v>
      </c>
      <c r="B13370" s="4" t="n">
        <v>27300</v>
      </c>
      <c r="C13370" s="4" t="n">
        <v>747</v>
      </c>
      <c r="D13370" s="4" t="n">
        <v>225.9675</v>
      </c>
      <c r="E13370" s="5" t="n">
        <v>120.8</v>
      </c>
      <c r="F13370" s="3" t="inlineStr">
        <is>
          <t>유구읍</t>
        </is>
      </c>
      <c r="G13370" s="3" t="inlineStr">
        <is>
          <t>문금리</t>
        </is>
      </c>
      <c r="H13370" s="3" t="inlineStr">
        <is>
          <t>단독다가구</t>
        </is>
      </c>
      <c r="I13370" s="3" t="inlineStr">
        <is>
          <t>단독</t>
        </is>
      </c>
      <c r="J13370" s="3" t="inlineStr">
        <is>
          <t>유구읍</t>
        </is>
      </c>
    </row>
    <row r="13371">
      <c r="A13371" s="3" t="n">
        <v>2024</v>
      </c>
      <c r="B13371" s="4" t="n">
        <v>5000</v>
      </c>
      <c r="C13371" s="4" t="n">
        <v>495</v>
      </c>
      <c r="D13371" s="4" t="n">
        <v>149.7375</v>
      </c>
      <c r="E13371" s="5" t="n">
        <v>33.4</v>
      </c>
      <c r="F13371" s="3" t="inlineStr">
        <is>
          <t>유구읍</t>
        </is>
      </c>
      <c r="G13371" s="3" t="inlineStr">
        <is>
          <t>신영리</t>
        </is>
      </c>
      <c r="H13371" s="3" t="inlineStr">
        <is>
          <t>단독다가구</t>
        </is>
      </c>
      <c r="I13371" s="3" t="inlineStr">
        <is>
          <t>단독</t>
        </is>
      </c>
      <c r="J13371" s="3" t="inlineStr">
        <is>
          <t>유구읍</t>
        </is>
      </c>
    </row>
    <row r="13372">
      <c r="A13372" s="3" t="n">
        <v>2024</v>
      </c>
      <c r="B13372" s="4" t="n">
        <v>12500</v>
      </c>
      <c r="C13372" s="4" t="n">
        <v>300</v>
      </c>
      <c r="D13372" s="4" t="n">
        <v>90.75</v>
      </c>
      <c r="E13372" s="5" t="n">
        <v>137.7</v>
      </c>
      <c r="F13372" s="3" t="inlineStr">
        <is>
          <t>유구읍</t>
        </is>
      </c>
      <c r="G13372" s="3" t="inlineStr">
        <is>
          <t>석남리</t>
        </is>
      </c>
      <c r="H13372" s="3" t="inlineStr">
        <is>
          <t>단독다가구</t>
        </is>
      </c>
      <c r="I13372" s="3" t="inlineStr">
        <is>
          <t>단독</t>
        </is>
      </c>
      <c r="J13372" s="3" t="inlineStr">
        <is>
          <t>유구읍</t>
        </is>
      </c>
    </row>
    <row r="13373">
      <c r="A13373" s="3" t="n">
        <v>2024</v>
      </c>
      <c r="B13373" s="4" t="n">
        <v>11000</v>
      </c>
      <c r="C13373" s="4" t="n">
        <v>495</v>
      </c>
      <c r="D13373" s="4" t="n">
        <v>149.7375</v>
      </c>
      <c r="E13373" s="5" t="n">
        <v>73.5</v>
      </c>
      <c r="F13373" s="3" t="inlineStr">
        <is>
          <t>유구읍</t>
        </is>
      </c>
      <c r="G13373" s="3" t="inlineStr">
        <is>
          <t>신달리</t>
        </is>
      </c>
      <c r="H13373" s="3" t="inlineStr">
        <is>
          <t>단독다가구</t>
        </is>
      </c>
      <c r="I13373" s="3" t="inlineStr">
        <is>
          <t>단독</t>
        </is>
      </c>
      <c r="J13373" s="3" t="inlineStr">
        <is>
          <t>유구읍</t>
        </is>
      </c>
    </row>
    <row r="13374">
      <c r="A13374" s="3" t="n">
        <v>2024</v>
      </c>
      <c r="B13374" s="4" t="n">
        <v>13000</v>
      </c>
      <c r="C13374" s="4" t="n">
        <v>496</v>
      </c>
      <c r="D13374" s="4" t="n">
        <v>150.04</v>
      </c>
      <c r="E13374" s="5" t="n">
        <v>86.59999999999999</v>
      </c>
      <c r="F13374" s="3" t="inlineStr">
        <is>
          <t>유구읍</t>
        </is>
      </c>
      <c r="G13374" s="3" t="inlineStr">
        <is>
          <t>석남리</t>
        </is>
      </c>
      <c r="H13374" s="3" t="inlineStr">
        <is>
          <t>단독다가구</t>
        </is>
      </c>
      <c r="I13374" s="3" t="inlineStr">
        <is>
          <t>단독</t>
        </is>
      </c>
      <c r="J13374" s="3" t="inlineStr">
        <is>
          <t>유구읍</t>
        </is>
      </c>
    </row>
    <row r="13375">
      <c r="A13375" s="3" t="n">
        <v>2024</v>
      </c>
      <c r="B13375" s="4" t="n">
        <v>5201</v>
      </c>
      <c r="C13375" s="4" t="n">
        <v>412</v>
      </c>
      <c r="D13375" s="4" t="n">
        <v>124.63</v>
      </c>
      <c r="E13375" s="5" t="n">
        <v>41.7</v>
      </c>
      <c r="F13375" s="3" t="inlineStr">
        <is>
          <t>유구읍</t>
        </is>
      </c>
      <c r="G13375" s="3" t="inlineStr">
        <is>
          <t>신영리</t>
        </is>
      </c>
      <c r="H13375" s="3" t="inlineStr">
        <is>
          <t>단독다가구</t>
        </is>
      </c>
      <c r="I13375" s="3" t="inlineStr">
        <is>
          <t>단독</t>
        </is>
      </c>
      <c r="J13375" s="3" t="inlineStr">
        <is>
          <t>유구읍</t>
        </is>
      </c>
    </row>
    <row r="13376">
      <c r="A13376" s="3" t="n">
        <v>2022</v>
      </c>
      <c r="B13376" s="4" t="n">
        <v>9500</v>
      </c>
      <c r="C13376" s="4" t="n">
        <v>594</v>
      </c>
      <c r="D13376" s="4" t="n">
        <v>179.685</v>
      </c>
      <c r="E13376" s="5" t="n">
        <v>52.9</v>
      </c>
      <c r="F13376" s="3" t="inlineStr">
        <is>
          <t>유구읍</t>
        </is>
      </c>
      <c r="G13376" s="3" t="inlineStr">
        <is>
          <t>백교리</t>
        </is>
      </c>
      <c r="H13376" s="3" t="inlineStr">
        <is>
          <t>단독다가구</t>
        </is>
      </c>
      <c r="I13376" s="3" t="inlineStr">
        <is>
          <t>단독</t>
        </is>
      </c>
      <c r="J13376" s="3" t="inlineStr">
        <is>
          <t>유구읍</t>
        </is>
      </c>
    </row>
    <row r="13377">
      <c r="A13377" s="3" t="n">
        <v>2022</v>
      </c>
      <c r="B13377" s="4" t="n">
        <v>14000</v>
      </c>
      <c r="C13377" s="4" t="n">
        <v>732</v>
      </c>
      <c r="D13377" s="4" t="n">
        <v>221.43</v>
      </c>
      <c r="E13377" s="5" t="n">
        <v>63.2</v>
      </c>
      <c r="F13377" s="3" t="inlineStr">
        <is>
          <t>유구읍</t>
        </is>
      </c>
      <c r="G13377" s="3" t="inlineStr">
        <is>
          <t>문금리</t>
        </is>
      </c>
      <c r="H13377" s="3" t="inlineStr">
        <is>
          <t>단독다가구</t>
        </is>
      </c>
      <c r="I13377" s="3" t="inlineStr">
        <is>
          <t>단독</t>
        </is>
      </c>
      <c r="J13377" s="3" t="inlineStr">
        <is>
          <t>유구읍</t>
        </is>
      </c>
    </row>
    <row r="13378">
      <c r="A13378" s="3" t="n">
        <v>2022</v>
      </c>
      <c r="B13378" s="4" t="n">
        <v>7000</v>
      </c>
      <c r="C13378" s="4" t="n">
        <v>115</v>
      </c>
      <c r="D13378" s="4" t="n">
        <v>34.7875</v>
      </c>
      <c r="E13378" s="5" t="n">
        <v>201.2</v>
      </c>
      <c r="F13378" s="3" t="inlineStr">
        <is>
          <t>유구읍</t>
        </is>
      </c>
      <c r="G13378" s="3" t="inlineStr">
        <is>
          <t>석남리</t>
        </is>
      </c>
      <c r="H13378" s="3" t="inlineStr">
        <is>
          <t>단독다가구</t>
        </is>
      </c>
      <c r="I13378" s="3" t="inlineStr">
        <is>
          <t>단독</t>
        </is>
      </c>
      <c r="J13378" s="3" t="inlineStr">
        <is>
          <t>유구읍</t>
        </is>
      </c>
    </row>
    <row r="13379">
      <c r="A13379" s="3" t="n">
        <v>2022</v>
      </c>
      <c r="B13379" s="4" t="n">
        <v>35500</v>
      </c>
      <c r="C13379" s="4" t="n">
        <v>658</v>
      </c>
      <c r="D13379" s="4" t="n">
        <v>199.045</v>
      </c>
      <c r="E13379" s="5" t="n">
        <v>178.4</v>
      </c>
      <c r="F13379" s="3" t="inlineStr">
        <is>
          <t>유구읍</t>
        </is>
      </c>
      <c r="G13379" s="3" t="inlineStr">
        <is>
          <t>문금리</t>
        </is>
      </c>
      <c r="H13379" s="3" t="inlineStr">
        <is>
          <t>단독다가구</t>
        </is>
      </c>
      <c r="I13379" s="3" t="inlineStr">
        <is>
          <t>단독</t>
        </is>
      </c>
      <c r="J13379" s="3" t="inlineStr">
        <is>
          <t>유구읍</t>
        </is>
      </c>
    </row>
    <row r="13380">
      <c r="A13380" s="3" t="n">
        <v>2022</v>
      </c>
      <c r="B13380" s="4" t="n">
        <v>3220</v>
      </c>
      <c r="C13380" s="4" t="n">
        <v>330</v>
      </c>
      <c r="D13380" s="4" t="n">
        <v>99.825</v>
      </c>
      <c r="E13380" s="5" t="n">
        <v>32.3</v>
      </c>
      <c r="F13380" s="3" t="inlineStr">
        <is>
          <t>유구읍</t>
        </is>
      </c>
      <c r="G13380" s="3" t="inlineStr">
        <is>
          <t>추계리</t>
        </is>
      </c>
      <c r="H13380" s="3" t="inlineStr">
        <is>
          <t>단독다가구</t>
        </is>
      </c>
      <c r="I13380" s="3" t="inlineStr">
        <is>
          <t>단독</t>
        </is>
      </c>
      <c r="J13380" s="3" t="inlineStr">
        <is>
          <t>유구읍</t>
        </is>
      </c>
    </row>
    <row r="13381">
      <c r="A13381" s="3" t="n">
        <v>2022</v>
      </c>
      <c r="B13381" s="4" t="n">
        <v>36000</v>
      </c>
      <c r="C13381" s="4" t="n">
        <v>922</v>
      </c>
      <c r="D13381" s="4" t="n">
        <v>278.905</v>
      </c>
      <c r="E13381" s="5" t="n">
        <v>129.1</v>
      </c>
      <c r="F13381" s="3" t="inlineStr">
        <is>
          <t>유구읍</t>
        </is>
      </c>
      <c r="G13381" s="3" t="inlineStr">
        <is>
          <t>문금리</t>
        </is>
      </c>
      <c r="H13381" s="3" t="inlineStr">
        <is>
          <t>단독다가구</t>
        </is>
      </c>
      <c r="I13381" s="3" t="inlineStr">
        <is>
          <t>단독</t>
        </is>
      </c>
      <c r="J13381" s="3" t="inlineStr">
        <is>
          <t>유구읍</t>
        </is>
      </c>
    </row>
    <row r="13382">
      <c r="A13382" s="3" t="n">
        <v>2022</v>
      </c>
      <c r="B13382" s="4" t="n">
        <v>9900</v>
      </c>
      <c r="C13382" s="4" t="n">
        <v>184</v>
      </c>
      <c r="D13382" s="4" t="n">
        <v>55.66</v>
      </c>
      <c r="E13382" s="5" t="n">
        <v>177.9</v>
      </c>
      <c r="F13382" s="3" t="inlineStr">
        <is>
          <t>유구읍</t>
        </is>
      </c>
      <c r="G13382" s="3" t="inlineStr">
        <is>
          <t>백교리</t>
        </is>
      </c>
      <c r="H13382" s="3" t="inlineStr">
        <is>
          <t>단독다가구</t>
        </is>
      </c>
      <c r="I13382" s="3" t="inlineStr">
        <is>
          <t>단독</t>
        </is>
      </c>
      <c r="J13382" s="3" t="inlineStr">
        <is>
          <t>유구읍</t>
        </is>
      </c>
    </row>
    <row r="13383">
      <c r="A13383" s="3" t="n">
        <v>2023</v>
      </c>
      <c r="B13383" s="4" t="n">
        <v>5800</v>
      </c>
      <c r="C13383" s="4" t="n">
        <v>253</v>
      </c>
      <c r="D13383" s="4" t="n">
        <v>76.5325</v>
      </c>
      <c r="E13383" s="5" t="n">
        <v>75.8</v>
      </c>
      <c r="F13383" s="3" t="inlineStr">
        <is>
          <t>유구읍</t>
        </is>
      </c>
      <c r="G13383" s="3" t="inlineStr">
        <is>
          <t>녹천리</t>
        </is>
      </c>
      <c r="H13383" s="3" t="inlineStr">
        <is>
          <t>단독다가구</t>
        </is>
      </c>
      <c r="I13383" s="3" t="inlineStr">
        <is>
          <t>단독</t>
        </is>
      </c>
      <c r="J13383" s="3" t="inlineStr">
        <is>
          <t>유구읍</t>
        </is>
      </c>
    </row>
    <row r="13384">
      <c r="A13384" s="3" t="n">
        <v>2023</v>
      </c>
      <c r="B13384" s="4" t="n">
        <v>13700</v>
      </c>
      <c r="C13384" s="4" t="n">
        <v>483</v>
      </c>
      <c r="D13384" s="4" t="n">
        <v>146.1075</v>
      </c>
      <c r="E13384" s="5" t="n">
        <v>93.8</v>
      </c>
      <c r="F13384" s="3" t="inlineStr">
        <is>
          <t>유구읍</t>
        </is>
      </c>
      <c r="G13384" s="3" t="inlineStr">
        <is>
          <t>녹천리</t>
        </is>
      </c>
      <c r="H13384" s="3" t="inlineStr">
        <is>
          <t>단독다가구</t>
        </is>
      </c>
      <c r="I13384" s="3" t="inlineStr">
        <is>
          <t>단독</t>
        </is>
      </c>
      <c r="J13384" s="3" t="inlineStr">
        <is>
          <t>유구읍</t>
        </is>
      </c>
    </row>
    <row r="13385">
      <c r="A13385" s="3" t="n">
        <v>2023</v>
      </c>
      <c r="B13385" s="4" t="n">
        <v>14630</v>
      </c>
      <c r="C13385" s="4" t="n">
        <v>430</v>
      </c>
      <c r="D13385" s="4" t="n">
        <v>130.075</v>
      </c>
      <c r="E13385" s="5" t="n">
        <v>112.5</v>
      </c>
      <c r="F13385" s="3" t="inlineStr">
        <is>
          <t>유구읍</t>
        </is>
      </c>
      <c r="G13385" s="3" t="inlineStr">
        <is>
          <t>유구리</t>
        </is>
      </c>
      <c r="H13385" s="3" t="inlineStr">
        <is>
          <t>단독다가구</t>
        </is>
      </c>
      <c r="I13385" s="3" t="inlineStr">
        <is>
          <t>단독</t>
        </is>
      </c>
      <c r="J13385" s="3" t="inlineStr">
        <is>
          <t>유구읍</t>
        </is>
      </c>
    </row>
    <row r="13386">
      <c r="A13386" s="3" t="n">
        <v>2023</v>
      </c>
      <c r="B13386" s="4" t="n">
        <v>14630</v>
      </c>
      <c r="C13386" s="4" t="n">
        <v>430</v>
      </c>
      <c r="D13386" s="4" t="n">
        <v>130.075</v>
      </c>
      <c r="E13386" s="5" t="n">
        <v>112.5</v>
      </c>
      <c r="F13386" s="3" t="inlineStr">
        <is>
          <t>유구읍</t>
        </is>
      </c>
      <c r="G13386" s="3" t="inlineStr">
        <is>
          <t>유구리</t>
        </is>
      </c>
      <c r="H13386" s="3" t="inlineStr">
        <is>
          <t>단독다가구</t>
        </is>
      </c>
      <c r="I13386" s="3" t="inlineStr">
        <is>
          <t>단독</t>
        </is>
      </c>
      <c r="J13386" s="3" t="inlineStr">
        <is>
          <t>유구읍</t>
        </is>
      </c>
    </row>
    <row r="13387">
      <c r="A13387" s="3" t="n">
        <v>2023</v>
      </c>
      <c r="B13387" s="4" t="n">
        <v>15000</v>
      </c>
      <c r="C13387" s="4" t="n">
        <v>430</v>
      </c>
      <c r="D13387" s="4" t="n">
        <v>130.075</v>
      </c>
      <c r="E13387" s="5" t="n">
        <v>115.3</v>
      </c>
      <c r="F13387" s="3" t="inlineStr">
        <is>
          <t>유구읍</t>
        </is>
      </c>
      <c r="G13387" s="3" t="inlineStr">
        <is>
          <t>유구리</t>
        </is>
      </c>
      <c r="H13387" s="3" t="inlineStr">
        <is>
          <t>단독다가구</t>
        </is>
      </c>
      <c r="I13387" s="3" t="inlineStr">
        <is>
          <t>단독</t>
        </is>
      </c>
      <c r="J13387" s="3" t="inlineStr">
        <is>
          <t>유구읍</t>
        </is>
      </c>
    </row>
    <row r="13388">
      <c r="A13388" s="3" t="n">
        <v>2023</v>
      </c>
      <c r="B13388" s="4" t="n">
        <v>1400</v>
      </c>
      <c r="C13388" s="4" t="n">
        <v>39.3333</v>
      </c>
      <c r="D13388" s="4" t="n">
        <v>11.89832325</v>
      </c>
      <c r="E13388" s="5" t="n">
        <v>117.7</v>
      </c>
      <c r="F13388" s="3" t="inlineStr">
        <is>
          <t>유구읍</t>
        </is>
      </c>
      <c r="G13388" s="3" t="inlineStr">
        <is>
          <t>석남리</t>
        </is>
      </c>
      <c r="H13388" s="3" t="inlineStr">
        <is>
          <t>단독다가구</t>
        </is>
      </c>
      <c r="I13388" s="3" t="inlineStr">
        <is>
          <t>단독</t>
        </is>
      </c>
      <c r="J13388" s="3" t="inlineStr">
        <is>
          <t>유구읍</t>
        </is>
      </c>
    </row>
    <row r="13389">
      <c r="A13389" s="3" t="n">
        <v>2023</v>
      </c>
      <c r="B13389" s="4" t="n">
        <v>17500</v>
      </c>
      <c r="C13389" s="4" t="n">
        <v>1113</v>
      </c>
      <c r="D13389" s="4" t="n">
        <v>336.6825</v>
      </c>
      <c r="E13389" s="5" t="n">
        <v>52</v>
      </c>
      <c r="F13389" s="3" t="inlineStr">
        <is>
          <t>유구읍</t>
        </is>
      </c>
      <c r="G13389" s="3" t="inlineStr">
        <is>
          <t>문금리</t>
        </is>
      </c>
      <c r="H13389" s="3" t="inlineStr">
        <is>
          <t>단독다가구</t>
        </is>
      </c>
      <c r="I13389" s="3" t="inlineStr">
        <is>
          <t>단독</t>
        </is>
      </c>
      <c r="J13389" s="3" t="inlineStr">
        <is>
          <t>유구읍</t>
        </is>
      </c>
    </row>
    <row r="13390">
      <c r="A13390" s="3" t="n">
        <v>2023</v>
      </c>
      <c r="B13390" s="4" t="n">
        <v>10000</v>
      </c>
      <c r="C13390" s="4" t="n">
        <v>926</v>
      </c>
      <c r="D13390" s="4" t="n">
        <v>280.115</v>
      </c>
      <c r="E13390" s="5" t="n">
        <v>35.7</v>
      </c>
      <c r="F13390" s="3" t="inlineStr">
        <is>
          <t>유구읍</t>
        </is>
      </c>
      <c r="G13390" s="3" t="inlineStr">
        <is>
          <t>신영리</t>
        </is>
      </c>
      <c r="H13390" s="3" t="inlineStr">
        <is>
          <t>단독다가구</t>
        </is>
      </c>
      <c r="I13390" s="3" t="inlineStr">
        <is>
          <t>단독</t>
        </is>
      </c>
      <c r="J13390" s="3" t="inlineStr">
        <is>
          <t>유구읍</t>
        </is>
      </c>
    </row>
    <row r="13391">
      <c r="A13391" s="3" t="n">
        <v>2023</v>
      </c>
      <c r="B13391" s="4" t="n">
        <v>12961</v>
      </c>
      <c r="C13391" s="4" t="n">
        <v>660</v>
      </c>
      <c r="D13391" s="4" t="n">
        <v>199.65</v>
      </c>
      <c r="E13391" s="5" t="n">
        <v>64.90000000000001</v>
      </c>
      <c r="F13391" s="3" t="inlineStr">
        <is>
          <t>유구읍</t>
        </is>
      </c>
      <c r="G13391" s="3" t="inlineStr">
        <is>
          <t>명곡리</t>
        </is>
      </c>
      <c r="H13391" s="3" t="inlineStr">
        <is>
          <t>단독다가구</t>
        </is>
      </c>
      <c r="I13391" s="3" t="inlineStr">
        <is>
          <t>단독</t>
        </is>
      </c>
      <c r="J13391" s="3" t="inlineStr">
        <is>
          <t>유구읍</t>
        </is>
      </c>
    </row>
    <row r="13392">
      <c r="A13392" s="3" t="n">
        <v>2023</v>
      </c>
      <c r="B13392" s="4" t="n">
        <v>18630</v>
      </c>
      <c r="C13392" s="4" t="n">
        <v>470</v>
      </c>
      <c r="D13392" s="4" t="n">
        <v>142.175</v>
      </c>
      <c r="E13392" s="5" t="n">
        <v>131</v>
      </c>
      <c r="F13392" s="3" t="inlineStr">
        <is>
          <t>유구읍</t>
        </is>
      </c>
      <c r="G13392" s="3" t="inlineStr">
        <is>
          <t>녹천리</t>
        </is>
      </c>
      <c r="H13392" s="3" t="inlineStr">
        <is>
          <t>단독다가구</t>
        </is>
      </c>
      <c r="I13392" s="3" t="inlineStr">
        <is>
          <t>단독</t>
        </is>
      </c>
      <c r="J13392" s="3" t="inlineStr">
        <is>
          <t>유구읍</t>
        </is>
      </c>
    </row>
    <row r="13393">
      <c r="A13393" s="3" t="n">
        <v>2023</v>
      </c>
      <c r="B13393" s="4" t="n">
        <v>14500</v>
      </c>
      <c r="C13393" s="4" t="n">
        <v>643</v>
      </c>
      <c r="D13393" s="4" t="n">
        <v>194.5075</v>
      </c>
      <c r="E13393" s="5" t="n">
        <v>74.5</v>
      </c>
      <c r="F13393" s="3" t="inlineStr">
        <is>
          <t>유구읍</t>
        </is>
      </c>
      <c r="G13393" s="3" t="inlineStr">
        <is>
          <t>구계리</t>
        </is>
      </c>
      <c r="H13393" s="3" t="inlineStr">
        <is>
          <t>단독다가구</t>
        </is>
      </c>
      <c r="I13393" s="3" t="inlineStr">
        <is>
          <t>단독</t>
        </is>
      </c>
      <c r="J13393" s="3" t="inlineStr">
        <is>
          <t>유구읍</t>
        </is>
      </c>
    </row>
    <row r="13394">
      <c r="A13394" s="3" t="n">
        <v>2023</v>
      </c>
      <c r="B13394" s="4" t="n">
        <v>9700</v>
      </c>
      <c r="C13394" s="4" t="n">
        <v>550</v>
      </c>
      <c r="D13394" s="4" t="n">
        <v>166.375</v>
      </c>
      <c r="E13394" s="5" t="n">
        <v>58.3</v>
      </c>
      <c r="F13394" s="3" t="inlineStr">
        <is>
          <t>유구읍</t>
        </is>
      </c>
      <c r="G13394" s="3" t="inlineStr">
        <is>
          <t>문금리</t>
        </is>
      </c>
      <c r="H13394" s="3" t="inlineStr">
        <is>
          <t>단독다가구</t>
        </is>
      </c>
      <c r="I13394" s="3" t="inlineStr">
        <is>
          <t>단독</t>
        </is>
      </c>
      <c r="J13394" s="3" t="inlineStr">
        <is>
          <t>유구읍</t>
        </is>
      </c>
    </row>
    <row r="13395">
      <c r="A13395" s="3" t="n">
        <v>2023</v>
      </c>
      <c r="B13395" s="4" t="n">
        <v>35505</v>
      </c>
      <c r="C13395" s="4" t="n">
        <v>990</v>
      </c>
      <c r="D13395" s="4" t="n">
        <v>299.475</v>
      </c>
      <c r="E13395" s="5" t="n">
        <v>118.6</v>
      </c>
      <c r="F13395" s="3" t="inlineStr">
        <is>
          <t>유구읍</t>
        </is>
      </c>
      <c r="G13395" s="3" t="inlineStr">
        <is>
          <t>유구리</t>
        </is>
      </c>
      <c r="H13395" s="3" t="inlineStr">
        <is>
          <t>단독다가구</t>
        </is>
      </c>
      <c r="I13395" s="3" t="inlineStr">
        <is>
          <t>단독</t>
        </is>
      </c>
      <c r="J13395" s="3" t="inlineStr">
        <is>
          <t>유구읍</t>
        </is>
      </c>
    </row>
    <row r="13396">
      <c r="A13396" s="3" t="n">
        <v>2025</v>
      </c>
      <c r="B13396" s="4" t="n">
        <v>35000</v>
      </c>
      <c r="C13396" s="4" t="n">
        <v>1623</v>
      </c>
      <c r="D13396" s="4" t="n">
        <v>490.9575</v>
      </c>
      <c r="E13396" s="5" t="n">
        <v>71.3</v>
      </c>
      <c r="F13396" s="3" t="inlineStr">
        <is>
          <t>유구읍</t>
        </is>
      </c>
      <c r="G13396" s="3" t="inlineStr">
        <is>
          <t>구계리</t>
        </is>
      </c>
      <c r="H13396" s="3" t="inlineStr">
        <is>
          <t>단독다가구</t>
        </is>
      </c>
      <c r="I13396" s="3" t="inlineStr">
        <is>
          <t>단독</t>
        </is>
      </c>
      <c r="J13396" s="3" t="inlineStr">
        <is>
          <t>유구읍</t>
        </is>
      </c>
    </row>
    <row r="13397">
      <c r="A13397" s="3" t="n">
        <v>2025</v>
      </c>
      <c r="B13397" s="4" t="n">
        <v>12000</v>
      </c>
      <c r="C13397" s="4" t="n">
        <v>602</v>
      </c>
      <c r="D13397" s="4" t="n">
        <v>182.105</v>
      </c>
      <c r="E13397" s="5" t="n">
        <v>65.90000000000001</v>
      </c>
      <c r="F13397" s="3" t="inlineStr">
        <is>
          <t>유구읍</t>
        </is>
      </c>
      <c r="G13397" s="3" t="inlineStr">
        <is>
          <t>녹천리</t>
        </is>
      </c>
      <c r="H13397" s="3" t="inlineStr">
        <is>
          <t>단독다가구</t>
        </is>
      </c>
      <c r="I13397" s="3" t="inlineStr">
        <is>
          <t>단독</t>
        </is>
      </c>
      <c r="J13397" s="3" t="inlineStr">
        <is>
          <t>유구읍</t>
        </is>
      </c>
    </row>
    <row r="13398">
      <c r="A13398" s="3" t="n">
        <v>2025</v>
      </c>
      <c r="B13398" s="4" t="n">
        <v>14795</v>
      </c>
      <c r="C13398" s="4" t="n">
        <v>1491</v>
      </c>
      <c r="D13398" s="4" t="n">
        <v>451.0275</v>
      </c>
      <c r="E13398" s="5" t="n">
        <v>32.8</v>
      </c>
      <c r="F13398" s="3" t="inlineStr">
        <is>
          <t>유구읍</t>
        </is>
      </c>
      <c r="G13398" s="3" t="inlineStr">
        <is>
          <t>만천리</t>
        </is>
      </c>
      <c r="H13398" s="3" t="inlineStr">
        <is>
          <t>단독다가구</t>
        </is>
      </c>
      <c r="I13398" s="3" t="inlineStr">
        <is>
          <t>단독</t>
        </is>
      </c>
      <c r="J13398" s="3" t="inlineStr">
        <is>
          <t>유구읍</t>
        </is>
      </c>
    </row>
    <row r="13399">
      <c r="A13399" s="3" t="n">
        <v>2025</v>
      </c>
      <c r="B13399" s="4" t="n">
        <v>5800</v>
      </c>
      <c r="C13399" s="4" t="n">
        <v>253</v>
      </c>
      <c r="D13399" s="4" t="n">
        <v>76.5325</v>
      </c>
      <c r="E13399" s="5" t="n">
        <v>75.8</v>
      </c>
      <c r="F13399" s="3" t="inlineStr">
        <is>
          <t>유구읍</t>
        </is>
      </c>
      <c r="G13399" s="3" t="inlineStr">
        <is>
          <t>녹천리</t>
        </is>
      </c>
      <c r="H13399" s="3" t="inlineStr">
        <is>
          <t>단독다가구</t>
        </is>
      </c>
      <c r="I13399" s="3" t="inlineStr">
        <is>
          <t>단독</t>
        </is>
      </c>
      <c r="J13399" s="3" t="inlineStr">
        <is>
          <t>유구읍</t>
        </is>
      </c>
    </row>
    <row r="13400">
      <c r="A13400" s="3" t="n">
        <v>2025</v>
      </c>
      <c r="B13400" s="4" t="n">
        <v>9000</v>
      </c>
      <c r="C13400" s="4" t="n">
        <v>258</v>
      </c>
      <c r="D13400" s="4" t="n">
        <v>78.045</v>
      </c>
      <c r="E13400" s="5" t="n">
        <v>115.3</v>
      </c>
      <c r="F13400" s="3" t="inlineStr">
        <is>
          <t>유구읍</t>
        </is>
      </c>
      <c r="G13400" s="3" t="inlineStr">
        <is>
          <t>유구리</t>
        </is>
      </c>
      <c r="H13400" s="3" t="inlineStr">
        <is>
          <t>단독다가구</t>
        </is>
      </c>
      <c r="I13400" s="3" t="inlineStr">
        <is>
          <t>단독</t>
        </is>
      </c>
      <c r="J13400" s="3" t="inlineStr">
        <is>
          <t>유구읍</t>
        </is>
      </c>
    </row>
    <row r="13401">
      <c r="A13401" s="3" t="n">
        <v>2025</v>
      </c>
      <c r="B13401" s="4" t="n">
        <v>9000</v>
      </c>
      <c r="C13401" s="4" t="n">
        <v>242</v>
      </c>
      <c r="D13401" s="4" t="n">
        <v>73.205</v>
      </c>
      <c r="E13401" s="5" t="n">
        <v>122.9</v>
      </c>
      <c r="F13401" s="3" t="inlineStr">
        <is>
          <t>유구읍</t>
        </is>
      </c>
      <c r="G13401" s="3" t="inlineStr">
        <is>
          <t>백교리</t>
        </is>
      </c>
      <c r="H13401" s="3" t="inlineStr">
        <is>
          <t>단독다가구</t>
        </is>
      </c>
      <c r="I13401" s="3" t="inlineStr">
        <is>
          <t>단독</t>
        </is>
      </c>
      <c r="J13401" s="3" t="inlineStr">
        <is>
          <t>유구읍</t>
        </is>
      </c>
    </row>
    <row r="13402">
      <c r="A13402" s="3" t="n">
        <v>2025</v>
      </c>
      <c r="B13402" s="4" t="n">
        <v>10000</v>
      </c>
      <c r="C13402" s="4" t="n">
        <v>608</v>
      </c>
      <c r="D13402" s="4" t="n">
        <v>183.92</v>
      </c>
      <c r="E13402" s="5" t="n">
        <v>54.4</v>
      </c>
      <c r="F13402" s="3" t="inlineStr">
        <is>
          <t>유구읍</t>
        </is>
      </c>
      <c r="G13402" s="3" t="inlineStr">
        <is>
          <t>신영리</t>
        </is>
      </c>
      <c r="H13402" s="3" t="inlineStr">
        <is>
          <t>단독다가구</t>
        </is>
      </c>
      <c r="I13402" s="3" t="inlineStr">
        <is>
          <t>단독</t>
        </is>
      </c>
      <c r="J13402" s="3" t="inlineStr">
        <is>
          <t>유구읍</t>
        </is>
      </c>
    </row>
    <row r="13403">
      <c r="A13403" s="3" t="n">
        <v>2025</v>
      </c>
      <c r="B13403" s="4" t="n">
        <v>6800</v>
      </c>
      <c r="C13403" s="4" t="n">
        <v>724</v>
      </c>
      <c r="D13403" s="4" t="n">
        <v>219.01</v>
      </c>
      <c r="E13403" s="5" t="n">
        <v>31</v>
      </c>
      <c r="F13403" s="3" t="inlineStr">
        <is>
          <t>유구읍</t>
        </is>
      </c>
      <c r="G13403" s="3" t="inlineStr">
        <is>
          <t>신달리</t>
        </is>
      </c>
      <c r="H13403" s="3" t="inlineStr">
        <is>
          <t>단독다가구</t>
        </is>
      </c>
      <c r="I13403" s="3" t="inlineStr">
        <is>
          <t>단독</t>
        </is>
      </c>
      <c r="J13403" s="3" t="inlineStr">
        <is>
          <t>유구읍</t>
        </is>
      </c>
    </row>
    <row r="13404">
      <c r="A13404" s="3" t="n">
        <v>2025</v>
      </c>
      <c r="B13404" s="4" t="n">
        <v>4700</v>
      </c>
      <c r="C13404" s="4" t="n">
        <v>217</v>
      </c>
      <c r="D13404" s="4" t="n">
        <v>65.6425</v>
      </c>
      <c r="E13404" s="5" t="n">
        <v>71.59999999999999</v>
      </c>
      <c r="F13404" s="3" t="inlineStr">
        <is>
          <t>유구읍</t>
        </is>
      </c>
      <c r="G13404" s="3" t="inlineStr">
        <is>
          <t>녹천리</t>
        </is>
      </c>
      <c r="H13404" s="3" t="inlineStr">
        <is>
          <t>단독다가구</t>
        </is>
      </c>
      <c r="I13404" s="3" t="inlineStr">
        <is>
          <t>단독</t>
        </is>
      </c>
      <c r="J13404" s="3" t="inlineStr">
        <is>
          <t>유구읍</t>
        </is>
      </c>
    </row>
    <row r="13405">
      <c r="A13405" s="3" t="n">
        <v>2025</v>
      </c>
      <c r="B13405" s="4" t="n">
        <v>8000</v>
      </c>
      <c r="C13405" s="4" t="n">
        <v>173</v>
      </c>
      <c r="D13405" s="4" t="n">
        <v>52.3325</v>
      </c>
      <c r="E13405" s="5" t="n">
        <v>152.9</v>
      </c>
      <c r="F13405" s="3" t="inlineStr">
        <is>
          <t>유구읍</t>
        </is>
      </c>
      <c r="G13405" s="3" t="inlineStr">
        <is>
          <t>백교리</t>
        </is>
      </c>
      <c r="H13405" s="3" t="inlineStr">
        <is>
          <t>단독다가구</t>
        </is>
      </c>
      <c r="I13405" s="3" t="inlineStr">
        <is>
          <t>단독</t>
        </is>
      </c>
      <c r="J13405" s="3" t="inlineStr">
        <is>
          <t>유구읍</t>
        </is>
      </c>
    </row>
    <row r="13406">
      <c r="A13406" s="3" t="n">
        <v>2025</v>
      </c>
      <c r="B13406" s="4" t="n">
        <v>10000</v>
      </c>
      <c r="C13406" s="4" t="n">
        <v>120</v>
      </c>
      <c r="D13406" s="4" t="n">
        <v>36.3</v>
      </c>
      <c r="E13406" s="5" t="n">
        <v>275.5</v>
      </c>
      <c r="F13406" s="3" t="inlineStr">
        <is>
          <t>유구읍</t>
        </is>
      </c>
      <c r="G13406" s="3" t="inlineStr">
        <is>
          <t>석남리</t>
        </is>
      </c>
      <c r="H13406" s="3" t="inlineStr">
        <is>
          <t>단독다가구</t>
        </is>
      </c>
      <c r="I13406" s="3" t="inlineStr">
        <is>
          <t>단독</t>
        </is>
      </c>
      <c r="J13406" s="3" t="inlineStr">
        <is>
          <t>유구읍</t>
        </is>
      </c>
    </row>
    <row r="13407">
      <c r="A13407" s="3" t="n">
        <v>2025</v>
      </c>
      <c r="B13407" s="4" t="n">
        <v>5000</v>
      </c>
      <c r="C13407" s="4" t="n">
        <v>338</v>
      </c>
      <c r="D13407" s="4" t="n">
        <v>102.245</v>
      </c>
      <c r="E13407" s="5" t="n">
        <v>48.9</v>
      </c>
      <c r="F13407" s="3" t="inlineStr">
        <is>
          <t>유구읍</t>
        </is>
      </c>
      <c r="G13407" s="3" t="inlineStr">
        <is>
          <t>백교리</t>
        </is>
      </c>
      <c r="H13407" s="3" t="inlineStr">
        <is>
          <t>단독다가구</t>
        </is>
      </c>
      <c r="I13407" s="3" t="inlineStr">
        <is>
          <t>단독</t>
        </is>
      </c>
      <c r="J13407" s="3" t="inlineStr">
        <is>
          <t>유구읍</t>
        </is>
      </c>
    </row>
    <row r="13408">
      <c r="A13408" s="3" t="n">
        <v>2025</v>
      </c>
      <c r="B13408" s="4" t="n">
        <v>3000</v>
      </c>
      <c r="C13408" s="4" t="n">
        <v>114</v>
      </c>
      <c r="D13408" s="4" t="n">
        <v>34.485</v>
      </c>
      <c r="E13408" s="5" t="n">
        <v>87</v>
      </c>
      <c r="F13408" s="3" t="inlineStr">
        <is>
          <t>유구읍</t>
        </is>
      </c>
      <c r="G13408" s="3" t="inlineStr">
        <is>
          <t>석남리</t>
        </is>
      </c>
      <c r="H13408" s="3" t="inlineStr">
        <is>
          <t>단독다가구</t>
        </is>
      </c>
      <c r="I13408" s="3" t="inlineStr">
        <is>
          <t>단독</t>
        </is>
      </c>
      <c r="J13408" s="3" t="inlineStr">
        <is>
          <t>유구읍</t>
        </is>
      </c>
    </row>
    <row r="13409">
      <c r="A13409" s="3" t="n">
        <v>2025</v>
      </c>
      <c r="B13409" s="4" t="n">
        <v>19520</v>
      </c>
      <c r="C13409" s="4" t="n">
        <v>593</v>
      </c>
      <c r="D13409" s="4" t="n">
        <v>179.3825</v>
      </c>
      <c r="E13409" s="5" t="n">
        <v>108.8</v>
      </c>
      <c r="F13409" s="3" t="inlineStr">
        <is>
          <t>유구읍</t>
        </is>
      </c>
      <c r="G13409" s="3" t="inlineStr">
        <is>
          <t>구계리</t>
        </is>
      </c>
      <c r="H13409" s="3" t="inlineStr">
        <is>
          <t>단독다가구</t>
        </is>
      </c>
      <c r="I13409" s="3" t="inlineStr">
        <is>
          <t>단독</t>
        </is>
      </c>
      <c r="J13409" s="3" t="inlineStr">
        <is>
          <t>유구읍</t>
        </is>
      </c>
    </row>
    <row r="13410">
      <c r="A13410" s="3" t="n">
        <v>2025</v>
      </c>
      <c r="B13410" s="4" t="n">
        <v>20000</v>
      </c>
      <c r="C13410" s="4" t="n">
        <v>424</v>
      </c>
      <c r="D13410" s="4" t="n">
        <v>128.26</v>
      </c>
      <c r="E13410" s="5" t="n">
        <v>155.9</v>
      </c>
      <c r="F13410" s="3" t="inlineStr">
        <is>
          <t>유구읍</t>
        </is>
      </c>
      <c r="G13410" s="3" t="inlineStr">
        <is>
          <t>유구리</t>
        </is>
      </c>
      <c r="H13410" s="3" t="inlineStr">
        <is>
          <t>단독다가구</t>
        </is>
      </c>
      <c r="I13410" s="3" t="inlineStr">
        <is>
          <t>단독</t>
        </is>
      </c>
      <c r="J13410" s="3" t="inlineStr">
        <is>
          <t>유구읍</t>
        </is>
      </c>
    </row>
    <row r="13411">
      <c r="A13411" s="3" t="n">
        <v>2023</v>
      </c>
      <c r="B13411" s="4" t="n">
        <v>35505</v>
      </c>
      <c r="C13411" s="4" t="n">
        <v>990</v>
      </c>
      <c r="D13411" s="4" t="n">
        <v>299.475</v>
      </c>
      <c r="E13411" s="5" t="n">
        <v>118.6</v>
      </c>
      <c r="F13411" s="3" t="inlineStr">
        <is>
          <t>유구읍</t>
        </is>
      </c>
      <c r="G13411" s="3" t="inlineStr">
        <is>
          <t>유구리</t>
        </is>
      </c>
      <c r="H13411" s="3" t="inlineStr">
        <is>
          <t>단독다가구</t>
        </is>
      </c>
      <c r="I13411" s="3" t="inlineStr">
        <is>
          <t>단독</t>
        </is>
      </c>
      <c r="J13411" s="3" t="inlineStr">
        <is>
          <t>유구읍</t>
        </is>
      </c>
    </row>
    <row r="13412">
      <c r="A13412" s="3" t="n">
        <v>2023</v>
      </c>
      <c r="B13412" s="4" t="n">
        <v>10000</v>
      </c>
      <c r="C13412" s="4" t="n">
        <v>317</v>
      </c>
      <c r="D13412" s="4" t="n">
        <v>95.8925</v>
      </c>
      <c r="E13412" s="5" t="n">
        <v>104.3</v>
      </c>
      <c r="F13412" s="3" t="inlineStr">
        <is>
          <t>유구읍</t>
        </is>
      </c>
      <c r="G13412" s="3" t="inlineStr">
        <is>
          <t>백교리</t>
        </is>
      </c>
      <c r="H13412" s="3" t="inlineStr">
        <is>
          <t>단독다가구</t>
        </is>
      </c>
      <c r="I13412" s="3" t="inlineStr">
        <is>
          <t>단독</t>
        </is>
      </c>
      <c r="J13412" s="3" t="inlineStr">
        <is>
          <t>유구읍</t>
        </is>
      </c>
    </row>
    <row r="13413">
      <c r="A13413" s="3" t="n">
        <v>2023</v>
      </c>
      <c r="B13413" s="4" t="n">
        <v>14500</v>
      </c>
      <c r="C13413" s="4" t="n">
        <v>206</v>
      </c>
      <c r="D13413" s="4" t="n">
        <v>62.315</v>
      </c>
      <c r="E13413" s="5" t="n">
        <v>232.7</v>
      </c>
      <c r="F13413" s="3" t="inlineStr">
        <is>
          <t>유구읍</t>
        </is>
      </c>
      <c r="G13413" s="3" t="inlineStr">
        <is>
          <t>유구리</t>
        </is>
      </c>
      <c r="H13413" s="3" t="inlineStr">
        <is>
          <t>단독다가구</t>
        </is>
      </c>
      <c r="I13413" s="3" t="inlineStr">
        <is>
          <t>단독</t>
        </is>
      </c>
      <c r="J13413" s="3" t="inlineStr">
        <is>
          <t>유구읍</t>
        </is>
      </c>
    </row>
    <row r="13414">
      <c r="A13414" s="3" t="n">
        <v>2023</v>
      </c>
      <c r="B13414" s="4" t="n">
        <v>14700</v>
      </c>
      <c r="C13414" s="4" t="n">
        <v>526</v>
      </c>
      <c r="D13414" s="4" t="n">
        <v>159.115</v>
      </c>
      <c r="E13414" s="5" t="n">
        <v>92.40000000000001</v>
      </c>
      <c r="F13414" s="3" t="inlineStr">
        <is>
          <t>유구읍</t>
        </is>
      </c>
      <c r="G13414" s="3" t="inlineStr">
        <is>
          <t>추계리</t>
        </is>
      </c>
      <c r="H13414" s="3" t="inlineStr">
        <is>
          <t>단독다가구</t>
        </is>
      </c>
      <c r="I13414" s="3" t="inlineStr">
        <is>
          <t>단독</t>
        </is>
      </c>
      <c r="J13414" s="3" t="inlineStr">
        <is>
          <t>유구읍</t>
        </is>
      </c>
    </row>
    <row r="13415">
      <c r="A13415" s="3" t="n">
        <v>2023</v>
      </c>
      <c r="B13415" s="4" t="n">
        <v>9500</v>
      </c>
      <c r="C13415" s="4" t="n">
        <v>241</v>
      </c>
      <c r="D13415" s="4" t="n">
        <v>72.9025</v>
      </c>
      <c r="E13415" s="5" t="n">
        <v>130.3</v>
      </c>
      <c r="F13415" s="3" t="inlineStr">
        <is>
          <t>유구읍</t>
        </is>
      </c>
      <c r="G13415" s="3" t="inlineStr">
        <is>
          <t>석남리</t>
        </is>
      </c>
      <c r="H13415" s="3" t="inlineStr">
        <is>
          <t>단독다가구</t>
        </is>
      </c>
      <c r="I13415" s="3" t="inlineStr">
        <is>
          <t>단독</t>
        </is>
      </c>
      <c r="J13415" s="3" t="inlineStr">
        <is>
          <t>유구읍</t>
        </is>
      </c>
    </row>
    <row r="13416">
      <c r="A13416" s="3" t="n">
        <v>2025</v>
      </c>
      <c r="B13416" s="4" t="n">
        <v>9000</v>
      </c>
      <c r="C13416" s="4" t="n">
        <v>649</v>
      </c>
      <c r="D13416" s="4" t="n">
        <v>196.3225</v>
      </c>
      <c r="E13416" s="5" t="n">
        <v>45.8</v>
      </c>
      <c r="F13416" s="3" t="inlineStr">
        <is>
          <t>유구읍</t>
        </is>
      </c>
      <c r="G13416" s="3" t="inlineStr">
        <is>
          <t>신영리</t>
        </is>
      </c>
      <c r="H13416" s="3" t="inlineStr">
        <is>
          <t>단독다가구</t>
        </is>
      </c>
      <c r="I13416" s="3" t="inlineStr">
        <is>
          <t>단독</t>
        </is>
      </c>
      <c r="J13416" s="3" t="inlineStr">
        <is>
          <t>유구읍</t>
        </is>
      </c>
    </row>
    <row r="13417">
      <c r="A13417" s="3" t="n">
        <v>2025</v>
      </c>
      <c r="B13417" s="4" t="n">
        <v>9000</v>
      </c>
      <c r="C13417" s="4" t="n">
        <v>649</v>
      </c>
      <c r="D13417" s="4" t="n">
        <v>196.3225</v>
      </c>
      <c r="E13417" s="5" t="n">
        <v>45.8</v>
      </c>
      <c r="F13417" s="3" t="inlineStr">
        <is>
          <t>유구읍</t>
        </is>
      </c>
      <c r="G13417" s="3" t="inlineStr">
        <is>
          <t>신영리</t>
        </is>
      </c>
      <c r="H13417" s="3" t="inlineStr">
        <is>
          <t>단독다가구</t>
        </is>
      </c>
      <c r="I13417" s="3" t="inlineStr">
        <is>
          <t>단독</t>
        </is>
      </c>
      <c r="J13417" s="3" t="inlineStr">
        <is>
          <t>유구읍</t>
        </is>
      </c>
    </row>
    <row r="13418">
      <c r="A13418" s="3" t="n">
        <v>2025</v>
      </c>
      <c r="B13418" s="4" t="n">
        <v>10000</v>
      </c>
      <c r="C13418" s="4" t="n">
        <v>740</v>
      </c>
      <c r="D13418" s="4" t="n">
        <v>223.85</v>
      </c>
      <c r="E13418" s="5" t="n">
        <v>44.7</v>
      </c>
      <c r="F13418" s="3" t="inlineStr">
        <is>
          <t>유구읍</t>
        </is>
      </c>
      <c r="G13418" s="3" t="inlineStr">
        <is>
          <t>명곡리</t>
        </is>
      </c>
      <c r="H13418" s="3" t="inlineStr">
        <is>
          <t>단독다가구</t>
        </is>
      </c>
      <c r="I13418" s="3" t="inlineStr">
        <is>
          <t>단독</t>
        </is>
      </c>
      <c r="J13418" s="3" t="inlineStr">
        <is>
          <t>유구읍</t>
        </is>
      </c>
    </row>
    <row r="13419">
      <c r="A13419" s="3" t="n">
        <v>2025</v>
      </c>
      <c r="B13419" s="4" t="n">
        <v>10000</v>
      </c>
      <c r="C13419" s="4" t="n">
        <v>334</v>
      </c>
      <c r="D13419" s="4" t="n">
        <v>101.035</v>
      </c>
      <c r="E13419" s="5" t="n">
        <v>99</v>
      </c>
      <c r="F13419" s="3" t="inlineStr">
        <is>
          <t>유구읍</t>
        </is>
      </c>
      <c r="G13419" s="3" t="inlineStr">
        <is>
          <t>석남리</t>
        </is>
      </c>
      <c r="H13419" s="3" t="inlineStr">
        <is>
          <t>단독다가구</t>
        </is>
      </c>
      <c r="I13419" s="3" t="inlineStr">
        <is>
          <t>단독</t>
        </is>
      </c>
      <c r="J13419" s="3" t="inlineStr">
        <is>
          <t>유구읍</t>
        </is>
      </c>
    </row>
    <row r="13420">
      <c r="A13420" s="3" t="n">
        <v>2025</v>
      </c>
      <c r="B13420" s="4" t="n">
        <v>16500</v>
      </c>
      <c r="C13420" s="4" t="n">
        <v>602</v>
      </c>
      <c r="D13420" s="4" t="n">
        <v>182.105</v>
      </c>
      <c r="E13420" s="5" t="n">
        <v>90.59999999999999</v>
      </c>
      <c r="F13420" s="3" t="inlineStr">
        <is>
          <t>유구읍</t>
        </is>
      </c>
      <c r="G13420" s="3" t="inlineStr">
        <is>
          <t>신달리</t>
        </is>
      </c>
      <c r="H13420" s="3" t="inlineStr">
        <is>
          <t>단독다가구</t>
        </is>
      </c>
      <c r="I13420" s="3" t="inlineStr">
        <is>
          <t>단독</t>
        </is>
      </c>
      <c r="J13420" s="3" t="inlineStr">
        <is>
          <t>유구읍</t>
        </is>
      </c>
    </row>
    <row r="13421">
      <c r="A13421" s="3" t="n">
        <v>2025</v>
      </c>
      <c r="B13421" s="4" t="n">
        <v>3000</v>
      </c>
      <c r="C13421" s="4" t="n">
        <v>294</v>
      </c>
      <c r="D13421" s="4" t="n">
        <v>88.935</v>
      </c>
      <c r="E13421" s="5" t="n">
        <v>33.7</v>
      </c>
      <c r="F13421" s="3" t="inlineStr">
        <is>
          <t>유구읍</t>
        </is>
      </c>
      <c r="G13421" s="3" t="inlineStr">
        <is>
          <t>추계리</t>
        </is>
      </c>
      <c r="H13421" s="3" t="inlineStr">
        <is>
          <t>단독다가구</t>
        </is>
      </c>
      <c r="I13421" s="3" t="inlineStr">
        <is>
          <t>단독</t>
        </is>
      </c>
      <c r="J13421" s="3" t="inlineStr">
        <is>
          <t>유구읍</t>
        </is>
      </c>
    </row>
    <row r="13422">
      <c r="A13422" s="3" t="n">
        <v>2025</v>
      </c>
      <c r="B13422" s="4" t="n">
        <v>14000</v>
      </c>
      <c r="C13422" s="4" t="n">
        <v>250</v>
      </c>
      <c r="D13422" s="4" t="n">
        <v>75.625</v>
      </c>
      <c r="E13422" s="5" t="n">
        <v>185.1</v>
      </c>
      <c r="F13422" s="3" t="inlineStr">
        <is>
          <t>유구읍</t>
        </is>
      </c>
      <c r="G13422" s="3" t="inlineStr">
        <is>
          <t>신영리</t>
        </is>
      </c>
      <c r="H13422" s="3" t="inlineStr">
        <is>
          <t>단독다가구</t>
        </is>
      </c>
      <c r="I13422" s="3" t="inlineStr">
        <is>
          <t>단독</t>
        </is>
      </c>
      <c r="J13422" s="3" t="inlineStr">
        <is>
          <t>유구읍</t>
        </is>
      </c>
    </row>
    <row r="13423">
      <c r="A13423" s="3" t="n">
        <v>2025</v>
      </c>
      <c r="B13423" s="4" t="n">
        <v>6000</v>
      </c>
      <c r="C13423" s="4" t="n">
        <v>300</v>
      </c>
      <c r="D13423" s="4" t="n">
        <v>90.75</v>
      </c>
      <c r="E13423" s="5" t="n">
        <v>66.09999999999999</v>
      </c>
      <c r="F13423" s="3" t="inlineStr">
        <is>
          <t>유구읍</t>
        </is>
      </c>
      <c r="G13423" s="3" t="inlineStr">
        <is>
          <t>녹천리</t>
        </is>
      </c>
      <c r="H13423" s="3" t="inlineStr">
        <is>
          <t>단독다가구</t>
        </is>
      </c>
      <c r="I13423" s="3" t="inlineStr">
        <is>
          <t>단독</t>
        </is>
      </c>
      <c r="J13423" s="3" t="inlineStr">
        <is>
          <t>유구읍</t>
        </is>
      </c>
    </row>
    <row r="13424">
      <c r="A13424" s="3" t="n">
        <v>2025</v>
      </c>
      <c r="B13424" s="4" t="n">
        <v>10000</v>
      </c>
      <c r="C13424" s="4" t="n">
        <v>426</v>
      </c>
      <c r="D13424" s="4" t="n">
        <v>128.865</v>
      </c>
      <c r="E13424" s="5" t="n">
        <v>77.59999999999999</v>
      </c>
      <c r="F13424" s="3" t="inlineStr">
        <is>
          <t>유구읍</t>
        </is>
      </c>
      <c r="G13424" s="3" t="inlineStr">
        <is>
          <t>구계리</t>
        </is>
      </c>
      <c r="H13424" s="3" t="inlineStr">
        <is>
          <t>단독다가구</t>
        </is>
      </c>
      <c r="I13424" s="3" t="inlineStr">
        <is>
          <t>단독</t>
        </is>
      </c>
      <c r="J13424" s="3" t="inlineStr">
        <is>
          <t>유구읍</t>
        </is>
      </c>
    </row>
    <row r="13425">
      <c r="A13425" s="3" t="n">
        <v>2026</v>
      </c>
      <c r="B13425" s="4" t="n">
        <v>4000</v>
      </c>
      <c r="C13425" s="4" t="n">
        <v>278</v>
      </c>
      <c r="D13425" s="4" t="n">
        <v>84.095</v>
      </c>
      <c r="E13425" s="5" t="n">
        <v>47.6</v>
      </c>
      <c r="F13425" s="3" t="inlineStr">
        <is>
          <t>유구읍</t>
        </is>
      </c>
      <c r="G13425" s="3" t="inlineStr">
        <is>
          <t>유구리</t>
        </is>
      </c>
      <c r="H13425" s="3" t="inlineStr">
        <is>
          <t>단독다가구</t>
        </is>
      </c>
      <c r="I13425" s="3" t="inlineStr">
        <is>
          <t>단독</t>
        </is>
      </c>
      <c r="J13425" s="3" t="inlineStr">
        <is>
          <t>유구읍</t>
        </is>
      </c>
    </row>
    <row r="13426">
      <c r="A13426" s="3" t="n">
        <v>2026</v>
      </c>
      <c r="B13426" s="4" t="n">
        <v>8000</v>
      </c>
      <c r="C13426" s="4" t="n">
        <v>297</v>
      </c>
      <c r="D13426" s="4" t="n">
        <v>89.8425</v>
      </c>
      <c r="E13426" s="5" t="n">
        <v>89</v>
      </c>
      <c r="F13426" s="3" t="inlineStr">
        <is>
          <t>유구읍</t>
        </is>
      </c>
      <c r="G13426" s="3" t="inlineStr">
        <is>
          <t>석남리</t>
        </is>
      </c>
      <c r="H13426" s="3" t="inlineStr">
        <is>
          <t>단독다가구</t>
        </is>
      </c>
      <c r="I13426" s="3" t="inlineStr">
        <is>
          <t>단독</t>
        </is>
      </c>
      <c r="J13426" s="3" t="inlineStr">
        <is>
          <t>유구읍</t>
        </is>
      </c>
    </row>
    <row r="13427">
      <c r="A13427" s="3" t="n">
        <v>2026</v>
      </c>
      <c r="B13427" s="4" t="n">
        <v>28000</v>
      </c>
      <c r="C13427" s="4" t="n">
        <v>562</v>
      </c>
      <c r="D13427" s="4" t="n">
        <v>170.005</v>
      </c>
      <c r="E13427" s="5" t="n">
        <v>164.7</v>
      </c>
      <c r="F13427" s="3" t="inlineStr">
        <is>
          <t>유구읍</t>
        </is>
      </c>
      <c r="G13427" s="3" t="inlineStr">
        <is>
          <t>유구리</t>
        </is>
      </c>
      <c r="H13427" s="3" t="inlineStr">
        <is>
          <t>단독다가구</t>
        </is>
      </c>
      <c r="I13427" s="3" t="inlineStr">
        <is>
          <t>단독</t>
        </is>
      </c>
      <c r="J13427" s="3" t="inlineStr">
        <is>
          <t>유구읍</t>
        </is>
      </c>
    </row>
    <row r="13428">
      <c r="A13428" s="3" t="n">
        <v>2026</v>
      </c>
      <c r="B13428" s="4" t="n">
        <v>9000</v>
      </c>
      <c r="C13428" s="4" t="n">
        <v>120</v>
      </c>
      <c r="D13428" s="4" t="n">
        <v>36.3</v>
      </c>
      <c r="E13428" s="5" t="n">
        <v>247.9</v>
      </c>
      <c r="F13428" s="3" t="inlineStr">
        <is>
          <t>유구읍</t>
        </is>
      </c>
      <c r="G13428" s="3" t="inlineStr">
        <is>
          <t>석남리</t>
        </is>
      </c>
      <c r="H13428" s="3" t="inlineStr">
        <is>
          <t>단독다가구</t>
        </is>
      </c>
      <c r="I13428" s="3" t="inlineStr">
        <is>
          <t>단독</t>
        </is>
      </c>
      <c r="J13428" s="3" t="inlineStr">
        <is>
          <t>유구읍</t>
        </is>
      </c>
    </row>
    <row r="13429">
      <c r="A13429" s="3" t="n">
        <v>2026</v>
      </c>
      <c r="B13429" s="4" t="n">
        <v>1280</v>
      </c>
      <c r="C13429" s="4" t="n">
        <v>86</v>
      </c>
      <c r="D13429" s="4" t="n">
        <v>26.015</v>
      </c>
      <c r="E13429" s="5" t="n">
        <v>49.2</v>
      </c>
      <c r="F13429" s="3" t="inlineStr">
        <is>
          <t>유구읍</t>
        </is>
      </c>
      <c r="G13429" s="3" t="inlineStr">
        <is>
          <t>석남리</t>
        </is>
      </c>
      <c r="H13429" s="3" t="inlineStr">
        <is>
          <t>단독다가구</t>
        </is>
      </c>
      <c r="I13429" s="3" t="inlineStr">
        <is>
          <t>단독</t>
        </is>
      </c>
      <c r="J13429" s="3" t="inlineStr">
        <is>
          <t>유구읍</t>
        </is>
      </c>
    </row>
    <row r="13430">
      <c r="A13430" s="3" t="n">
        <v>2026</v>
      </c>
      <c r="B13430" s="4" t="n">
        <v>8500</v>
      </c>
      <c r="C13430" s="4" t="n">
        <v>569</v>
      </c>
      <c r="D13430" s="4" t="n">
        <v>172.1225</v>
      </c>
      <c r="E13430" s="5" t="n">
        <v>49.4</v>
      </c>
      <c r="F13430" s="3" t="inlineStr">
        <is>
          <t>유구읍</t>
        </is>
      </c>
      <c r="G13430" s="3" t="inlineStr">
        <is>
          <t>동해리</t>
        </is>
      </c>
      <c r="H13430" s="3" t="inlineStr">
        <is>
          <t>단독다가구</t>
        </is>
      </c>
      <c r="I13430" s="3" t="inlineStr">
        <is>
          <t>단독</t>
        </is>
      </c>
      <c r="J13430" s="3" t="inlineStr">
        <is>
          <t>유구읍</t>
        </is>
      </c>
    </row>
    <row r="13431">
      <c r="A13431" s="3" t="n">
        <v>2026</v>
      </c>
      <c r="B13431" s="4" t="n">
        <v>1500</v>
      </c>
      <c r="C13431" s="4" t="n">
        <v>56</v>
      </c>
      <c r="D13431" s="4" t="n">
        <v>16.94</v>
      </c>
      <c r="E13431" s="5" t="n">
        <v>88.5</v>
      </c>
      <c r="F13431" s="3" t="inlineStr">
        <is>
          <t>유구읍</t>
        </is>
      </c>
      <c r="G13431" s="3" t="inlineStr">
        <is>
          <t>석남리</t>
        </is>
      </c>
      <c r="H13431" s="3" t="inlineStr">
        <is>
          <t>단독다가구</t>
        </is>
      </c>
      <c r="I13431" s="3" t="inlineStr">
        <is>
          <t>단독</t>
        </is>
      </c>
      <c r="J13431" s="3" t="inlineStr">
        <is>
          <t>유구읍</t>
        </is>
      </c>
    </row>
    <row r="13432">
      <c r="A13432" s="3" t="n">
        <v>2026</v>
      </c>
      <c r="B13432" s="4" t="n">
        <v>8000</v>
      </c>
      <c r="C13432" s="4" t="n">
        <v>297</v>
      </c>
      <c r="D13432" s="4" t="n">
        <v>89.8425</v>
      </c>
      <c r="E13432" s="5" t="n">
        <v>89</v>
      </c>
      <c r="F13432" s="3" t="inlineStr">
        <is>
          <t>유구읍</t>
        </is>
      </c>
      <c r="G13432" s="3" t="inlineStr">
        <is>
          <t>석남리</t>
        </is>
      </c>
      <c r="H13432" s="3" t="inlineStr">
        <is>
          <t>단독다가구</t>
        </is>
      </c>
      <c r="I13432" s="3" t="inlineStr">
        <is>
          <t>단독</t>
        </is>
      </c>
      <c r="J13432" s="3" t="inlineStr">
        <is>
          <t>유구읍</t>
        </is>
      </c>
    </row>
    <row r="13433">
      <c r="A13433" s="3" t="n">
        <v>2026</v>
      </c>
      <c r="B13433" s="4" t="n">
        <v>4500</v>
      </c>
      <c r="C13433" s="4" t="n">
        <v>274</v>
      </c>
      <c r="D13433" s="4" t="n">
        <v>82.88499999999999</v>
      </c>
      <c r="E13433" s="5" t="n">
        <v>54.3</v>
      </c>
      <c r="F13433" s="3" t="inlineStr">
        <is>
          <t>유구읍</t>
        </is>
      </c>
      <c r="G13433" s="3" t="inlineStr">
        <is>
          <t>명곡리</t>
        </is>
      </c>
      <c r="H13433" s="3" t="inlineStr">
        <is>
          <t>단독다가구</t>
        </is>
      </c>
      <c r="I13433" s="3" t="inlineStr">
        <is>
          <t>단독</t>
        </is>
      </c>
      <c r="J13433" s="3" t="inlineStr">
        <is>
          <t>유구읍</t>
        </is>
      </c>
    </row>
    <row r="13434">
      <c r="A13434" s="3" t="n">
        <v>2026</v>
      </c>
      <c r="B13434" s="4" t="n">
        <v>3699</v>
      </c>
      <c r="C13434" s="4" t="n">
        <v>46</v>
      </c>
      <c r="D13434" s="4" t="n">
        <v>13.915</v>
      </c>
      <c r="E13434" s="5" t="n">
        <v>265.8</v>
      </c>
      <c r="F13434" s="3" t="inlineStr">
        <is>
          <t>유구읍</t>
        </is>
      </c>
      <c r="G13434" s="3" t="inlineStr">
        <is>
          <t>유구리</t>
        </is>
      </c>
      <c r="H13434" s="3" t="inlineStr">
        <is>
          <t>단독다가구</t>
        </is>
      </c>
      <c r="I13434" s="3" t="inlineStr">
        <is>
          <t>단독</t>
        </is>
      </c>
      <c r="J13434" s="3" t="inlineStr">
        <is>
          <t>유구읍</t>
        </is>
      </c>
    </row>
    <row r="13435">
      <c r="A13435" s="3" t="n">
        <v>2026</v>
      </c>
      <c r="B13435" s="4" t="n">
        <v>6200</v>
      </c>
      <c r="C13435" s="4" t="n">
        <v>121</v>
      </c>
      <c r="D13435" s="4" t="n">
        <v>36.6025</v>
      </c>
      <c r="E13435" s="5" t="n">
        <v>169.4</v>
      </c>
      <c r="F13435" s="3" t="inlineStr">
        <is>
          <t>유구읍</t>
        </is>
      </c>
      <c r="G13435" s="3" t="inlineStr">
        <is>
          <t>백교리</t>
        </is>
      </c>
      <c r="H13435" s="3" t="inlineStr">
        <is>
          <t>단독다가구</t>
        </is>
      </c>
      <c r="I13435" s="3" t="inlineStr">
        <is>
          <t>단독</t>
        </is>
      </c>
      <c r="J13435" s="3" t="inlineStr">
        <is>
          <t>유구읍</t>
        </is>
      </c>
    </row>
    <row r="13436">
      <c r="A13436" s="3" t="n">
        <v>2026</v>
      </c>
      <c r="B13436" s="4" t="n">
        <v>10700</v>
      </c>
      <c r="C13436" s="4" t="n">
        <v>540</v>
      </c>
      <c r="D13436" s="4" t="n">
        <v>163.35</v>
      </c>
      <c r="E13436" s="5" t="n">
        <v>65.5</v>
      </c>
      <c r="F13436" s="3" t="inlineStr">
        <is>
          <t>유구읍</t>
        </is>
      </c>
      <c r="G13436" s="3" t="inlineStr">
        <is>
          <t>노동리</t>
        </is>
      </c>
      <c r="H13436" s="3" t="inlineStr">
        <is>
          <t>단독다가구</t>
        </is>
      </c>
      <c r="I13436" s="3" t="inlineStr">
        <is>
          <t>단독</t>
        </is>
      </c>
      <c r="J13436" s="3" t="inlineStr">
        <is>
          <t>유구읍</t>
        </is>
      </c>
    </row>
    <row r="13437">
      <c r="A13437" s="3" t="n">
        <v>2026</v>
      </c>
      <c r="B13437" s="4" t="n">
        <v>2500</v>
      </c>
      <c r="C13437" s="4" t="n">
        <v>245</v>
      </c>
      <c r="D13437" s="4" t="n">
        <v>74.1125</v>
      </c>
      <c r="E13437" s="5" t="n">
        <v>33.7</v>
      </c>
      <c r="F13437" s="3" t="inlineStr">
        <is>
          <t>유구읍</t>
        </is>
      </c>
      <c r="G13437" s="3" t="inlineStr">
        <is>
          <t>석남리</t>
        </is>
      </c>
      <c r="H13437" s="3" t="inlineStr">
        <is>
          <t>단독다가구</t>
        </is>
      </c>
      <c r="I13437" s="3" t="inlineStr">
        <is>
          <t>단독</t>
        </is>
      </c>
      <c r="J13437" s="3" t="inlineStr">
        <is>
          <t>유구읍</t>
        </is>
      </c>
    </row>
    <row r="13438">
      <c r="A13438" s="3" t="n">
        <v>2026</v>
      </c>
      <c r="B13438" s="4" t="n">
        <v>7500</v>
      </c>
      <c r="C13438" s="4" t="n">
        <v>602</v>
      </c>
      <c r="D13438" s="4" t="n">
        <v>182.105</v>
      </c>
      <c r="E13438" s="5" t="n">
        <v>41.2</v>
      </c>
      <c r="F13438" s="3" t="inlineStr">
        <is>
          <t>유구읍</t>
        </is>
      </c>
      <c r="G13438" s="3" t="inlineStr">
        <is>
          <t>녹천리</t>
        </is>
      </c>
      <c r="H13438" s="3" t="inlineStr">
        <is>
          <t>단독다가구</t>
        </is>
      </c>
      <c r="I13438" s="3" t="inlineStr">
        <is>
          <t>단독</t>
        </is>
      </c>
      <c r="J13438" s="3" t="inlineStr">
        <is>
          <t>유구읍</t>
        </is>
      </c>
    </row>
    <row r="13439">
      <c r="A13439" s="3" t="n">
        <v>2026</v>
      </c>
      <c r="B13439" s="4" t="n">
        <v>4000</v>
      </c>
      <c r="C13439" s="4" t="n">
        <v>485</v>
      </c>
      <c r="D13439" s="4" t="n">
        <v>146.7125</v>
      </c>
      <c r="E13439" s="5" t="n">
        <v>27.3</v>
      </c>
      <c r="F13439" s="3" t="inlineStr">
        <is>
          <t>유구읍</t>
        </is>
      </c>
      <c r="G13439" s="3" t="inlineStr">
        <is>
          <t>문금리</t>
        </is>
      </c>
      <c r="H13439" s="3" t="inlineStr">
        <is>
          <t>단독다가구</t>
        </is>
      </c>
      <c r="I13439" s="3" t="inlineStr">
        <is>
          <t>단독</t>
        </is>
      </c>
      <c r="J13439" s="3" t="inlineStr">
        <is>
          <t>유구읍</t>
        </is>
      </c>
    </row>
    <row r="13440">
      <c r="A13440" s="3" t="n">
        <v>2026</v>
      </c>
      <c r="B13440" s="4" t="n">
        <v>10400</v>
      </c>
      <c r="C13440" s="4" t="n">
        <v>192</v>
      </c>
      <c r="D13440" s="4" t="n">
        <v>58.08</v>
      </c>
      <c r="E13440" s="5" t="n">
        <v>179.1</v>
      </c>
      <c r="F13440" s="3" t="inlineStr">
        <is>
          <t>유구읍</t>
        </is>
      </c>
      <c r="G13440" s="3" t="inlineStr">
        <is>
          <t>석남리</t>
        </is>
      </c>
      <c r="H13440" s="3" t="inlineStr">
        <is>
          <t>단독다가구</t>
        </is>
      </c>
      <c r="I13440" s="3" t="inlineStr">
        <is>
          <t>단독</t>
        </is>
      </c>
      <c r="J13440" s="3" t="inlineStr">
        <is>
          <t>유구읍</t>
        </is>
      </c>
    </row>
    <row r="13441">
      <c r="A13441" s="3" t="n">
        <v>2026</v>
      </c>
      <c r="B13441" s="4" t="n">
        <v>29500</v>
      </c>
      <c r="C13441" s="4" t="n">
        <v>331</v>
      </c>
      <c r="D13441" s="4" t="n">
        <v>100.1275</v>
      </c>
      <c r="E13441" s="5" t="n">
        <v>294.6</v>
      </c>
      <c r="F13441" s="3" t="inlineStr">
        <is>
          <t>유구읍</t>
        </is>
      </c>
      <c r="G13441" s="3" t="inlineStr">
        <is>
          <t>연종리</t>
        </is>
      </c>
      <c r="H13441" s="3" t="inlineStr">
        <is>
          <t>단독다가구</t>
        </is>
      </c>
      <c r="I13441" s="3" t="inlineStr">
        <is>
          <t>단독</t>
        </is>
      </c>
      <c r="J13441" s="3" t="inlineStr">
        <is>
          <t>유구읍</t>
        </is>
      </c>
    </row>
    <row r="13442">
      <c r="A13442" s="3" t="n">
        <v>2026</v>
      </c>
      <c r="B13442" s="4" t="n">
        <v>20000</v>
      </c>
      <c r="C13442" s="4" t="n">
        <v>660</v>
      </c>
      <c r="D13442" s="4" t="n">
        <v>199.65</v>
      </c>
      <c r="E13442" s="5" t="n">
        <v>100.2</v>
      </c>
      <c r="F13442" s="3" t="inlineStr">
        <is>
          <t>유구읍</t>
        </is>
      </c>
      <c r="G13442" s="3" t="inlineStr">
        <is>
          <t>유구리</t>
        </is>
      </c>
      <c r="H13442" s="3" t="inlineStr">
        <is>
          <t>단독다가구</t>
        </is>
      </c>
      <c r="I13442" s="3" t="inlineStr">
        <is>
          <t>단독</t>
        </is>
      </c>
      <c r="J13442" s="3" t="inlineStr">
        <is>
          <t>유구읍</t>
        </is>
      </c>
    </row>
    <row r="13443">
      <c r="A13443" s="3" t="n">
        <v>2023</v>
      </c>
      <c r="B13443" s="4" t="n">
        <v>14000</v>
      </c>
      <c r="C13443" s="4" t="n">
        <v>200</v>
      </c>
      <c r="D13443" s="4" t="n">
        <v>60.5</v>
      </c>
      <c r="E13443" s="5" t="n">
        <v>231.4</v>
      </c>
      <c r="F13443" s="3" t="inlineStr">
        <is>
          <t>유구읍</t>
        </is>
      </c>
      <c r="G13443" s="3" t="inlineStr">
        <is>
          <t>탑곡리</t>
        </is>
      </c>
      <c r="H13443" s="3" t="inlineStr">
        <is>
          <t>단독다가구</t>
        </is>
      </c>
      <c r="I13443" s="3" t="inlineStr">
        <is>
          <t>단독</t>
        </is>
      </c>
      <c r="J13443" s="3" t="inlineStr">
        <is>
          <t>유구읍</t>
        </is>
      </c>
    </row>
    <row r="13444">
      <c r="A13444" s="3" t="n">
        <v>2024</v>
      </c>
      <c r="B13444" s="4" t="n">
        <v>18900</v>
      </c>
      <c r="C13444" s="4" t="n">
        <v>238.1881</v>
      </c>
      <c r="D13444" s="4" t="n">
        <v>72.05190024999999</v>
      </c>
      <c r="E13444" s="5" t="n">
        <v>262.3</v>
      </c>
      <c r="F13444" s="3" t="inlineStr">
        <is>
          <t>유구읍</t>
        </is>
      </c>
      <c r="G13444" s="3" t="inlineStr">
        <is>
          <t>백교리</t>
        </is>
      </c>
      <c r="H13444" s="3" t="inlineStr">
        <is>
          <t>단독다가구</t>
        </is>
      </c>
      <c r="I13444" s="3" t="inlineStr">
        <is>
          <t>단독</t>
        </is>
      </c>
      <c r="J13444" s="3" t="inlineStr">
        <is>
          <t>유구읍</t>
        </is>
      </c>
    </row>
    <row r="13445">
      <c r="A13445" s="3" t="n">
        <v>2024</v>
      </c>
      <c r="B13445" s="4" t="n">
        <v>29517</v>
      </c>
      <c r="C13445" s="4" t="n">
        <v>331</v>
      </c>
      <c r="D13445" s="4" t="n">
        <v>100.1275</v>
      </c>
      <c r="E13445" s="5" t="n">
        <v>294.8</v>
      </c>
      <c r="F13445" s="3" t="inlineStr">
        <is>
          <t>유구읍</t>
        </is>
      </c>
      <c r="G13445" s="3" t="inlineStr">
        <is>
          <t>연종리</t>
        </is>
      </c>
      <c r="H13445" s="3" t="inlineStr">
        <is>
          <t>단독다가구</t>
        </is>
      </c>
      <c r="I13445" s="3" t="inlineStr">
        <is>
          <t>단독</t>
        </is>
      </c>
      <c r="J13445" s="3" t="inlineStr">
        <is>
          <t>유구읍</t>
        </is>
      </c>
    </row>
    <row r="13446">
      <c r="A13446" s="3" t="n">
        <v>2024</v>
      </c>
      <c r="B13446" s="4" t="n">
        <v>30000</v>
      </c>
      <c r="C13446" s="4" t="n">
        <v>827</v>
      </c>
      <c r="D13446" s="4" t="n">
        <v>250.1675</v>
      </c>
      <c r="E13446" s="5" t="n">
        <v>119.9</v>
      </c>
      <c r="F13446" s="3" t="inlineStr">
        <is>
          <t>유구읍</t>
        </is>
      </c>
      <c r="G13446" s="3" t="inlineStr">
        <is>
          <t>신달리</t>
        </is>
      </c>
      <c r="H13446" s="3" t="inlineStr">
        <is>
          <t>단독다가구</t>
        </is>
      </c>
      <c r="I13446" s="3" t="inlineStr">
        <is>
          <t>단독</t>
        </is>
      </c>
      <c r="J13446" s="3" t="inlineStr">
        <is>
          <t>유구읍</t>
        </is>
      </c>
    </row>
    <row r="13447">
      <c r="A13447" s="3" t="n">
        <v>2024</v>
      </c>
      <c r="B13447" s="4" t="n">
        <v>21000</v>
      </c>
      <c r="C13447" s="4" t="n">
        <v>811</v>
      </c>
      <c r="D13447" s="4" t="n">
        <v>245.3275</v>
      </c>
      <c r="E13447" s="5" t="n">
        <v>85.59999999999999</v>
      </c>
      <c r="F13447" s="3" t="inlineStr">
        <is>
          <t>유구읍</t>
        </is>
      </c>
      <c r="G13447" s="3" t="inlineStr">
        <is>
          <t>문금리</t>
        </is>
      </c>
      <c r="H13447" s="3" t="inlineStr">
        <is>
          <t>단독다가구</t>
        </is>
      </c>
      <c r="I13447" s="3" t="inlineStr">
        <is>
          <t>단독</t>
        </is>
      </c>
      <c r="J13447" s="3" t="inlineStr">
        <is>
          <t>유구읍</t>
        </is>
      </c>
    </row>
    <row r="13448">
      <c r="A13448" s="3" t="n">
        <v>2024</v>
      </c>
      <c r="B13448" s="4" t="n">
        <v>16900</v>
      </c>
      <c r="C13448" s="4" t="n">
        <v>349</v>
      </c>
      <c r="D13448" s="4" t="n">
        <v>105.5725</v>
      </c>
      <c r="E13448" s="5" t="n">
        <v>160.1</v>
      </c>
      <c r="F13448" s="3" t="inlineStr">
        <is>
          <t>유구읍</t>
        </is>
      </c>
      <c r="G13448" s="3" t="inlineStr">
        <is>
          <t>석남리</t>
        </is>
      </c>
      <c r="H13448" s="3" t="inlineStr">
        <is>
          <t>단독다가구</t>
        </is>
      </c>
      <c r="I13448" s="3" t="inlineStr">
        <is>
          <t>단독</t>
        </is>
      </c>
      <c r="J13448" s="3" t="inlineStr">
        <is>
          <t>유구읍</t>
        </is>
      </c>
    </row>
    <row r="13449">
      <c r="A13449" s="3" t="n">
        <v>2024</v>
      </c>
      <c r="B13449" s="4" t="n">
        <v>37990</v>
      </c>
      <c r="C13449" s="4" t="n">
        <v>1780</v>
      </c>
      <c r="D13449" s="4" t="n">
        <v>538.4499999999999</v>
      </c>
      <c r="E13449" s="5" t="n">
        <v>70.59999999999999</v>
      </c>
      <c r="F13449" s="3" t="inlineStr">
        <is>
          <t>유구읍</t>
        </is>
      </c>
      <c r="G13449" s="3" t="inlineStr">
        <is>
          <t>연종리</t>
        </is>
      </c>
      <c r="H13449" s="3" t="inlineStr">
        <is>
          <t>단독다가구</t>
        </is>
      </c>
      <c r="I13449" s="3" t="inlineStr">
        <is>
          <t>단독</t>
        </is>
      </c>
      <c r="J13449" s="3" t="inlineStr">
        <is>
          <t>유구읍</t>
        </is>
      </c>
    </row>
    <row r="13450">
      <c r="A13450" s="3" t="n">
        <v>2023</v>
      </c>
      <c r="B13450" s="4" t="n">
        <v>20000</v>
      </c>
      <c r="C13450" s="4" t="n">
        <v>618</v>
      </c>
      <c r="D13450" s="4" t="n">
        <v>186.945</v>
      </c>
      <c r="E13450" s="5" t="n">
        <v>107</v>
      </c>
      <c r="F13450" s="3" t="inlineStr">
        <is>
          <t>유구읍</t>
        </is>
      </c>
      <c r="G13450" s="3" t="inlineStr">
        <is>
          <t>유구리</t>
        </is>
      </c>
      <c r="H13450" s="3" t="inlineStr">
        <is>
          <t>단독다가구</t>
        </is>
      </c>
      <c r="I13450" s="3" t="inlineStr">
        <is>
          <t>단독</t>
        </is>
      </c>
      <c r="J13450" s="3" t="inlineStr">
        <is>
          <t>유구읍</t>
        </is>
      </c>
    </row>
    <row r="13451">
      <c r="A13451" s="3" t="n">
        <v>2023</v>
      </c>
      <c r="B13451" s="4" t="n">
        <v>3500</v>
      </c>
      <c r="C13451" s="4" t="n">
        <v>165</v>
      </c>
      <c r="D13451" s="4" t="n">
        <v>49.9125</v>
      </c>
      <c r="E13451" s="5" t="n">
        <v>70.09999999999999</v>
      </c>
      <c r="F13451" s="3" t="inlineStr">
        <is>
          <t>유구읍</t>
        </is>
      </c>
      <c r="G13451" s="3" t="inlineStr">
        <is>
          <t>유구리</t>
        </is>
      </c>
      <c r="H13451" s="3" t="inlineStr">
        <is>
          <t>단독다가구</t>
        </is>
      </c>
      <c r="I13451" s="3" t="inlineStr">
        <is>
          <t>단독</t>
        </is>
      </c>
      <c r="J13451" s="3" t="inlineStr">
        <is>
          <t>유구읍</t>
        </is>
      </c>
    </row>
    <row r="13452">
      <c r="A13452" s="3" t="n">
        <v>2023</v>
      </c>
      <c r="B13452" s="4" t="n">
        <v>49000</v>
      </c>
      <c r="C13452" s="4" t="n">
        <v>1676</v>
      </c>
      <c r="D13452" s="4" t="n">
        <v>506.99</v>
      </c>
      <c r="E13452" s="5" t="n">
        <v>96.59999999999999</v>
      </c>
      <c r="F13452" s="3" t="inlineStr">
        <is>
          <t>유구읍</t>
        </is>
      </c>
      <c r="G13452" s="3" t="inlineStr">
        <is>
          <t>구계리</t>
        </is>
      </c>
      <c r="H13452" s="3" t="inlineStr">
        <is>
          <t>단독다가구</t>
        </is>
      </c>
      <c r="I13452" s="3" t="inlineStr">
        <is>
          <t>다가구</t>
        </is>
      </c>
      <c r="J13452" s="3" t="inlineStr">
        <is>
          <t>유구읍</t>
        </is>
      </c>
    </row>
    <row r="13453">
      <c r="A13453" s="3" t="n">
        <v>2023</v>
      </c>
      <c r="B13453" s="4" t="n">
        <v>16552</v>
      </c>
      <c r="C13453" s="4" t="n">
        <v>1458</v>
      </c>
      <c r="D13453" s="4" t="n">
        <v>441.045</v>
      </c>
      <c r="E13453" s="5" t="n">
        <v>37.5</v>
      </c>
      <c r="F13453" s="3" t="inlineStr">
        <is>
          <t>유구읍</t>
        </is>
      </c>
      <c r="G13453" s="3" t="inlineStr">
        <is>
          <t>노동리</t>
        </is>
      </c>
      <c r="H13453" s="3" t="inlineStr">
        <is>
          <t>단독다가구</t>
        </is>
      </c>
      <c r="I13453" s="3" t="inlineStr">
        <is>
          <t>단독</t>
        </is>
      </c>
      <c r="J13453" s="3" t="inlineStr">
        <is>
          <t>유구읍</t>
        </is>
      </c>
    </row>
    <row r="13454">
      <c r="A13454" s="3" t="n">
        <v>2023</v>
      </c>
      <c r="B13454" s="4" t="n">
        <v>6500</v>
      </c>
      <c r="C13454" s="4" t="n">
        <v>454</v>
      </c>
      <c r="D13454" s="4" t="n">
        <v>137.335</v>
      </c>
      <c r="E13454" s="5" t="n">
        <v>47.3</v>
      </c>
      <c r="F13454" s="3" t="inlineStr">
        <is>
          <t>유구읍</t>
        </is>
      </c>
      <c r="G13454" s="3" t="inlineStr">
        <is>
          <t>세동리</t>
        </is>
      </c>
      <c r="H13454" s="3" t="inlineStr">
        <is>
          <t>단독다가구</t>
        </is>
      </c>
      <c r="I13454" s="3" t="inlineStr">
        <is>
          <t>단독</t>
        </is>
      </c>
      <c r="J13454" s="3" t="inlineStr">
        <is>
          <t>유구읍</t>
        </is>
      </c>
    </row>
    <row r="13455">
      <c r="A13455" s="3" t="n">
        <v>2022</v>
      </c>
      <c r="B13455" s="4" t="n">
        <v>22500</v>
      </c>
      <c r="C13455" s="4" t="n">
        <v>698</v>
      </c>
      <c r="D13455" s="4" t="n">
        <v>211.145</v>
      </c>
      <c r="E13455" s="5" t="n">
        <v>106.6</v>
      </c>
      <c r="F13455" s="3" t="inlineStr">
        <is>
          <t>유구읍</t>
        </is>
      </c>
      <c r="G13455" s="3" t="inlineStr">
        <is>
          <t>유구리</t>
        </is>
      </c>
      <c r="H13455" s="3" t="inlineStr">
        <is>
          <t>단독다가구</t>
        </is>
      </c>
      <c r="I13455" s="3" t="inlineStr">
        <is>
          <t>단독</t>
        </is>
      </c>
      <c r="J13455" s="3" t="inlineStr">
        <is>
          <t>유구읍</t>
        </is>
      </c>
    </row>
    <row r="13456">
      <c r="A13456" s="3" t="n">
        <v>2022</v>
      </c>
      <c r="B13456" s="4" t="n">
        <v>25000</v>
      </c>
      <c r="C13456" s="4" t="n">
        <v>449</v>
      </c>
      <c r="D13456" s="4" t="n">
        <v>135.8225</v>
      </c>
      <c r="E13456" s="5" t="n">
        <v>184.1</v>
      </c>
      <c r="F13456" s="3" t="inlineStr">
        <is>
          <t>유구읍</t>
        </is>
      </c>
      <c r="G13456" s="3" t="inlineStr">
        <is>
          <t>유구리</t>
        </is>
      </c>
      <c r="H13456" s="3" t="inlineStr">
        <is>
          <t>단독다가구</t>
        </is>
      </c>
      <c r="I13456" s="3" t="inlineStr">
        <is>
          <t>단독</t>
        </is>
      </c>
      <c r="J13456" s="3" t="inlineStr">
        <is>
          <t>유구읍</t>
        </is>
      </c>
    </row>
    <row r="13457">
      <c r="A13457" s="3" t="n">
        <v>2022</v>
      </c>
      <c r="B13457" s="4" t="n">
        <v>7000</v>
      </c>
      <c r="C13457" s="4" t="n">
        <v>509</v>
      </c>
      <c r="D13457" s="4" t="n">
        <v>153.9725</v>
      </c>
      <c r="E13457" s="5" t="n">
        <v>45.5</v>
      </c>
      <c r="F13457" s="3" t="inlineStr">
        <is>
          <t>유구읍</t>
        </is>
      </c>
      <c r="G13457" s="3" t="inlineStr">
        <is>
          <t>명곡리</t>
        </is>
      </c>
      <c r="H13457" s="3" t="inlineStr">
        <is>
          <t>단독다가구</t>
        </is>
      </c>
      <c r="I13457" s="3" t="inlineStr">
        <is>
          <t>단독</t>
        </is>
      </c>
      <c r="J13457" s="3" t="inlineStr">
        <is>
          <t>유구읍</t>
        </is>
      </c>
    </row>
    <row r="13458">
      <c r="A13458" s="3" t="n">
        <v>2022</v>
      </c>
      <c r="B13458" s="4" t="n">
        <v>34000</v>
      </c>
      <c r="C13458" s="4" t="n">
        <v>331</v>
      </c>
      <c r="D13458" s="4" t="n">
        <v>100.1275</v>
      </c>
      <c r="E13458" s="5" t="n">
        <v>339.6</v>
      </c>
      <c r="F13458" s="3" t="inlineStr">
        <is>
          <t>유구읍</t>
        </is>
      </c>
      <c r="G13458" s="3" t="inlineStr">
        <is>
          <t>연종리</t>
        </is>
      </c>
      <c r="H13458" s="3" t="inlineStr">
        <is>
          <t>단독다가구</t>
        </is>
      </c>
      <c r="I13458" s="3" t="inlineStr">
        <is>
          <t>단독</t>
        </is>
      </c>
      <c r="J13458" s="3" t="inlineStr">
        <is>
          <t>유구읍</t>
        </is>
      </c>
    </row>
    <row r="13459">
      <c r="A13459" s="3" t="n">
        <v>2022</v>
      </c>
      <c r="B13459" s="4" t="n">
        <v>19000</v>
      </c>
      <c r="C13459" s="4" t="n">
        <v>602</v>
      </c>
      <c r="D13459" s="4" t="n">
        <v>182.105</v>
      </c>
      <c r="E13459" s="5" t="n">
        <v>104.3</v>
      </c>
      <c r="F13459" s="3" t="inlineStr">
        <is>
          <t>유구읍</t>
        </is>
      </c>
      <c r="G13459" s="3" t="inlineStr">
        <is>
          <t>신달리</t>
        </is>
      </c>
      <c r="H13459" s="3" t="inlineStr">
        <is>
          <t>단독다가구</t>
        </is>
      </c>
      <c r="I13459" s="3" t="inlineStr">
        <is>
          <t>단독</t>
        </is>
      </c>
      <c r="J13459" s="3" t="inlineStr">
        <is>
          <t>유구읍</t>
        </is>
      </c>
    </row>
    <row r="13460">
      <c r="A13460" s="3" t="n">
        <v>2022</v>
      </c>
      <c r="B13460" s="4" t="n">
        <v>17200</v>
      </c>
      <c r="C13460" s="4" t="n">
        <v>277</v>
      </c>
      <c r="D13460" s="4" t="n">
        <v>83.7925</v>
      </c>
      <c r="E13460" s="5" t="n">
        <v>205.3</v>
      </c>
      <c r="F13460" s="3" t="inlineStr">
        <is>
          <t>유구읍</t>
        </is>
      </c>
      <c r="G13460" s="3" t="inlineStr">
        <is>
          <t>유구리</t>
        </is>
      </c>
      <c r="H13460" s="3" t="inlineStr">
        <is>
          <t>단독다가구</t>
        </is>
      </c>
      <c r="I13460" s="3" t="inlineStr">
        <is>
          <t>단독</t>
        </is>
      </c>
      <c r="J13460" s="3" t="inlineStr">
        <is>
          <t>유구읍</t>
        </is>
      </c>
    </row>
    <row r="13461">
      <c r="A13461" s="3" t="n">
        <v>2022</v>
      </c>
      <c r="B13461" s="4" t="n">
        <v>35500</v>
      </c>
      <c r="C13461" s="4" t="n">
        <v>566</v>
      </c>
      <c r="D13461" s="4" t="n">
        <v>171.215</v>
      </c>
      <c r="E13461" s="5" t="n">
        <v>207.3</v>
      </c>
      <c r="F13461" s="3" t="inlineStr">
        <is>
          <t>유구읍</t>
        </is>
      </c>
      <c r="G13461" s="3" t="inlineStr">
        <is>
          <t>연종리</t>
        </is>
      </c>
      <c r="H13461" s="3" t="inlineStr">
        <is>
          <t>단독다가구</t>
        </is>
      </c>
      <c r="I13461" s="3" t="inlineStr">
        <is>
          <t>단독</t>
        </is>
      </c>
      <c r="J13461" s="3" t="inlineStr">
        <is>
          <t>유구읍</t>
        </is>
      </c>
    </row>
    <row r="13462">
      <c r="A13462" s="3" t="n">
        <v>2022</v>
      </c>
      <c r="B13462" s="4" t="n">
        <v>21000</v>
      </c>
      <c r="C13462" s="4" t="n">
        <v>281</v>
      </c>
      <c r="D13462" s="4" t="n">
        <v>85.0025</v>
      </c>
      <c r="E13462" s="5" t="n">
        <v>247.1</v>
      </c>
      <c r="F13462" s="3" t="inlineStr">
        <is>
          <t>유구읍</t>
        </is>
      </c>
      <c r="G13462" s="3" t="inlineStr">
        <is>
          <t>유구리</t>
        </is>
      </c>
      <c r="H13462" s="3" t="inlineStr">
        <is>
          <t>단독다가구</t>
        </is>
      </c>
      <c r="I13462" s="3" t="inlineStr">
        <is>
          <t>단독</t>
        </is>
      </c>
      <c r="J13462" s="3" t="inlineStr">
        <is>
          <t>유구읍</t>
        </is>
      </c>
    </row>
    <row r="13463">
      <c r="A13463" s="3" t="n">
        <v>2022</v>
      </c>
      <c r="B13463" s="4" t="n">
        <v>29500</v>
      </c>
      <c r="C13463" s="4" t="n">
        <v>872.9777</v>
      </c>
      <c r="D13463" s="4" t="n">
        <v>264.07575425</v>
      </c>
      <c r="E13463" s="5" t="n">
        <v>111.7</v>
      </c>
      <c r="F13463" s="3" t="inlineStr">
        <is>
          <t>유구읍</t>
        </is>
      </c>
      <c r="G13463" s="3" t="inlineStr">
        <is>
          <t>문금리</t>
        </is>
      </c>
      <c r="H13463" s="3" t="inlineStr">
        <is>
          <t>단독다가구</t>
        </is>
      </c>
      <c r="I13463" s="3" t="inlineStr">
        <is>
          <t>단독</t>
        </is>
      </c>
      <c r="J13463" s="3" t="inlineStr">
        <is>
          <t>유구읍</t>
        </is>
      </c>
    </row>
  </sheetData>
  <autoFilter ref="A1:J13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2026-10-21T02:41:30Z</dcterms:created>
  <dcterms:modified xsi:type="dcterms:W3CDTF">2026-10-21T02:41:47Z</dcterms:modified>
</cp:coreProperties>
</file>